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firstSheet="1" activeTab="1"/>
  </bookViews>
  <sheets>
    <sheet name="面试人员" sheetId="3" state="hidden" r:id="rId1"/>
    <sheet name="分数1" sheetId="1" r:id="rId2"/>
    <sheet name="导出计数_列N" sheetId="2" r:id="rId3"/>
  </sheets>
  <definedNames>
    <definedName name="_xlnm._FilterDatabase" localSheetId="0" hidden="1">面试人员!$A$2:$O$58</definedName>
    <definedName name="_xlnm.Print_Titles" localSheetId="1">分数1!$2:$2</definedName>
    <definedName name="_xlnm.Print_Area" localSheetId="1">分数1!$A$1:$J$13</definedName>
    <definedName name="_xlnm.Print_Titles" localSheetId="0">面试人员!$2:$2</definedName>
    <definedName name="_xlnm.Print_Area" localSheetId="0">面试人员!$A$1:$M$58</definedName>
    <definedName name="_xlnm._FilterDatabase" localSheetId="1" hidden="1">分数1!$A$2:$H$13</definedName>
  </definedNames>
  <calcPr calcId="144525"/>
</workbook>
</file>

<file path=xl/sharedStrings.xml><?xml version="1.0" encoding="utf-8"?>
<sst xmlns="http://schemas.openxmlformats.org/spreadsheetml/2006/main" count="353" uniqueCount="164">
  <si>
    <t>2022年儋州市面向全省公开选调公务员（合格人员）</t>
  </si>
  <si>
    <t>序号</t>
  </si>
  <si>
    <t>报考单位</t>
  </si>
  <si>
    <t>报考岗位</t>
  </si>
  <si>
    <t>姓名</t>
  </si>
  <si>
    <t>性别</t>
  </si>
  <si>
    <t>出生年月</t>
  </si>
  <si>
    <t>政治面貌</t>
  </si>
  <si>
    <t>全日制教育学历</t>
  </si>
  <si>
    <t>全日制教育学位</t>
  </si>
  <si>
    <t>全日制教育毕业专业</t>
  </si>
  <si>
    <t>全日制教育毕业院校</t>
  </si>
  <si>
    <t>现工作
单位</t>
  </si>
  <si>
    <t>主要工作经历</t>
  </si>
  <si>
    <t>儋州市委政策研究室</t>
  </si>
  <si>
    <t>0101_决策咨询科三级主任科员及以下</t>
  </si>
  <si>
    <t>东方市</t>
  </si>
  <si>
    <t>是</t>
  </si>
  <si>
    <t>白沙黎族自治县</t>
  </si>
  <si>
    <t>儋州市</t>
  </si>
  <si>
    <t>儋州市委督查和绩效考评委员会办公室</t>
  </si>
  <si>
    <t>0201_一级主任科员及以下</t>
  </si>
  <si>
    <t>2012.09--2016.06  湖南工业大学财经学院国际经济与贸易专业学习                       2016.06--2017.04  待业                                      
2017.04--2018.03  海南江东源装饰有限公司职员                               2018.03--2018.07  海南海河航务规划工程有限公司职员                             2018.07--2019.01  海口良美美业科技有限公司职员                              2019.01--2019.03  待业                                                       
2019.03--2019.11  海南海河航务规划工程有限公司职员
2019.11--2020.12  海南省临高县统计局试用期公务员
2020.12--         海南省临高县统计局一级科员</t>
  </si>
  <si>
    <t>临高县</t>
  </si>
  <si>
    <t>2013.07--2014.07  儋州市国家税务局纳税服务中心试用期公务员
2014.07--2015.02  儋州市国家税务局纳税服务中心科员   
2015.02--2017.11  儋州市国家税务总局收入核算科科员  
2017.11--2018.09  儋州市国家税务局征收管理科科员
2018.09--         国家税务总局儋州市税务局征收管理科一级行政执法员</t>
  </si>
  <si>
    <t>税务局</t>
  </si>
  <si>
    <t>2007.09--2011.07  重庆三峡学院电子与信息工程学院教育技术学专业学习
2011.07--2012.11  待业
2012.11--2015.11  海南省省委选聘生（白沙县南开乡革新村委会主任助理）
2015.11--2016.10  白沙县南开乡委科员
2016.10--2019.06  白沙县南开乡人民政府副乡长
2019.06--2021.01  白沙县南开乡委员会委员、组织委员
2021.01--2021.10  白沙县南开乡委员会副书记、政法委员(兼)
2021.10--2021.11  白沙县南开乡人民代表大会主席提名候选人
2021.11--         白沙县南开乡人民代表大会主席</t>
  </si>
  <si>
    <t>2010.07--2011.09  广西联通河池市分公司职员
2011.10--2014.10  临高县南宝镇好贤村党支部书记助理（选聘生）；
2014.10--2016.06  临高县南宝镇党政综合办公室主任；
2016.07--2017.09  临高县发展和改革委员会办公室主任；
2017.09--2019.09  中共临高县纪委办公室科员；
2019.09--2021.03  临高县纪委监委派驻县委办纪检组副组长；
2021.03--2022.06  临高县纪委监委办公室主任；
2022.06--         临高县政务服务中心副主任</t>
  </si>
  <si>
    <t>2010.09--2014.07  海南师范大学教育学专业学习
2014.07--2015.11  待业
2015.11--2016.11  东方市东河司法所试用期公务员
2016.11--2017.11  东方市东河司法所科员
2017.11--2019.06  东方市东河司法所指导员
2019.06--2022.05  东方市司法局东河司法所指导员、一级科员
2022.05--         东方市司法局一级科员</t>
  </si>
  <si>
    <t>儋州市委推进环新英湾港产城一体化开发建设领导小组办公室</t>
  </si>
  <si>
    <t>0303_综合协调科四级主任科员及以下</t>
  </si>
  <si>
    <t>2015.09--2019.06  湖南工业大学科技学院财务管理专业学习
2019.06--2019.11  待业
2019.11--2020.03  临高县审计局试用期公务员（选调生）
2020.03--2020.11  临高县审计局试用期公务员（选调生）、新盈镇南堂村党支部书记助理
2020.11--2021.10  临高县审计局一级科员、新盈镇南堂村党支部书记助理
2021.10--2022.03  临高县审计局办公室副主任、新盈镇南堂村党支部书记助理
2022.01--         中国人民政治协商会议第十一届临高县委员会委员
2022.03--         临高县审计局办公室副主任</t>
  </si>
  <si>
    <t>2009.09--2013.06  长沙理工大学交通运输工程学院土木工程专业学习
2013.06--2014.01  待业
2014.01--2015.01  白沙县打安镇人民政府试用期公务员
2015.01--2019.06  白沙县打安镇人民政府科员（其间：2015.07--2015.09借调县政府办工作）
2019.06--2020.03  白沙县打安镇人民政府一级科员
2020.03--2021.10  白沙县打安镇委员会委员组织委员
2021.10--2021.12  白沙县打安镇委员会委员副镇长提名人选
2021.12--         白沙县打安镇委员会委员副镇长</t>
  </si>
  <si>
    <t>2016.10--2017.10  海南省白沙县爱国卫生运动委员会办公室试用期工作人员；
2017.10--2019.06  海南省白沙县爱国卫生运动委员会办公室科员；
2019.06--2020.01  海南省白沙县爱国卫生运动服务中心一级科员；
2020.01--2020.05  海南省白沙县委宣传部一级科员；
2020.05--2020.12  海南省白沙县委宣传部办公室主任、一级科员；
2020.12--2021.10  海南省白沙县委宣传部办公室主任，四级主任科员；
2021.10--         海南省白沙县七坊镇委员会委员、宣传委员"</t>
  </si>
  <si>
    <t>2015.11--2016.11  东方市司法局试用期公务员
2016.11--2018.02  东方市司法局社区矫正科员
2018.02--2019.06  东方市司法局办公室副主任
2019.06--2020.01  东方市司法局办公室副主任一级科员
2020.01--2020.08  东方市司法局办公室主任一级科员
2020.08--         东方市司法局办公室主任四级主任科员</t>
  </si>
  <si>
    <t>儋州市综合行政执法局洋浦分局</t>
  </si>
  <si>
    <t>0402_农业执法岗一级主任科员及以下岗位</t>
  </si>
  <si>
    <t>2011.08--2012.08  海南省保亭县妇女联合会大学生志愿者
2012.08--2012.10  待业
2012.10--2015.10  海南省白沙县打安镇可程村委会主任助理
2015.10--2019.06  海南省白沙县打安镇党委科员
2019.06--2020.12  海南省白沙县打安镇人民政府一级科员
2020.12--2021.11  海南省白沙县打安镇四级主任科员
2021.11--         海南省白沙县打安镇党委委员、宣传委员"</t>
  </si>
  <si>
    <t>2015.09--2016.09  琼中黎族苗族自治县食品药品监督管理局任试用期公务员
2016.09--2017.04  琼中黎族苗族自治县食品药品监督管理局药械监管岗科员
2017.04--2017.11  海南省食品药品监督管理局药品生产处挂职锻炼
2017.11--2019.03  琼中黎族苗族自治县食品药品监督管理局药械化岗科员
2019.03--2021.06  琼中黎族苗族自治县市场监督管理局药品械化室科员                                                                   
2021.06--         琼中黎族苗族自治县市场监督管理局办公室科员</t>
  </si>
  <si>
    <t>琼中黎族苗族自治县</t>
  </si>
  <si>
    <t>2009.09--2013.07  陕西省西京学院会计专业学习
2013.07--2013.12  待业
2013.12--2014.12  海南省五指山市审计局试用期公务员
2014.12--2015.10  海南省五指山市审计局科员
2015.10--2020.04  海南省五指山市审计局社保审计岗岗长、审理审计岗岗长、科员
2020.04--2021.08  海南省五指山市审计局农资审计岗岗长、审理审计岗岗长、科员
2021.08--         海南省五指山市审计局农资审计岗岗长、审理审计岗岗长、四级主任科员</t>
  </si>
  <si>
    <t>五指山</t>
  </si>
  <si>
    <t>2016.10--2017.10  白沙黎族自治县财政国库支付局试用期公务员
2017.10--2019.06  白沙黎族自治县财政国库支付局科员
2019.06--         白沙黎族自治县财政国库支付中心一级科员</t>
  </si>
  <si>
    <t>2014.09--2015.02  临高县人力资源和社会保障局三支一扶工作人员
2015.02--2016.02  临高县动物卫生监督所试用期事业人员
2016.02--2016.10  临高县动物卫生监督所职员
2016.10--2017.10  临高县劳动保障监察大队试用期参公人员
2017.10--2019.06  临高县劳动保障监察大队科员
2019.06--2019.10  临高县劳动保障监察大队一级科员
2019.10--2022.04  临高县委直属机关工作委员会一级科员
2022.04--         临高县委办公室一级科员</t>
  </si>
  <si>
    <t>2012.08--2014.02  三亚市政府办公室 政府雇员
2014.02--2014.08  三亚吉阳镇龙坡村村委会 大学生村官
2014.08--2015.08  白沙黎族自治县国家税务局办公室 试用期公务员
2015.08--2018.07  白沙黎族自治县国家税务局办公室 科员
2018.07--2019.06  国家税务总局白沙黎族自治县税务局办公室 科员
2019.06--2019.10  国家税务总局白沙黎族自治县税务局办公室 一级行政执法员
2019.10--         国家税务总局白沙黎族自治县税务局税政一股 一级行政执法员</t>
  </si>
  <si>
    <t>儋州市营商环境建设局</t>
  </si>
  <si>
    <t>0501_企业服务科四级主任科员及以下</t>
  </si>
  <si>
    <t>2010.09--2014.06  重庆工商大学 学生
2014.07--2014.08  待业
2014.08--2015.11  广东精准德邦物流有限公司职员
2015.11--2016.12  待业
2016.12--2018.01  琼中县地方税务局纳税服务管理局办税服务厅试用期公务员
2018.01--2018.10  琼中县地方税务局纳税服务管理局办税服务大厅科员
2018.10--2019.06  国家税务总局琼中黎族苗族自治县税务局第二税务分局科员
2019.06--2021.05  国家税务总局琼中黎族苗族自治县税务局第二税务分局一级行政执法员
2021.05--2022.02  国家税务总局琼中黎族苗族自治县税务局征收管理股一级行政执法员（负责日常工作）
2022.02--2022.05  国家税务总局琼中黎族苗族自治县税务局税收风险管理股副股长、一级行政执法员
2022.05--        国家税务总局琼中黎族苗族自治县税务局纳税服务股副股长、一级行政执法员</t>
  </si>
  <si>
    <t>2010.12--2012.01  白沙县司法局阜龙司法所试用期公务员
2012.01--2013.01  白沙县司法局阜龙司法所司法助理
2013.01--2014.07  白沙县司法局阜龙司法所所长
2014.07--2016.03  白沙县司法局法律援助股股长
2016.03--2019.03  白沙县司法局法律援助股股长、法律援助中心主任
2019.03--2019.06  白沙县司法局科员、公共法律服务与律师工作室主任、法治调研室主任
2019.06--2021.08  白沙县司法局公共法律服务与律师工作室主任、法治调研室主任、一级科员
2021.08--2021.12  白沙县司法局办公室主任、公共法律服务与律师工作室主任（兼）、一级科员
2021.12--         白沙县司法局办公室主任、公共法律服务与律师工作室主任（兼）、四级主任科员县政协第九、十、十一届委员会委员"</t>
  </si>
  <si>
    <t>2014.02--2015.01  海南省白沙县邦溪镇邦新村委会大学生村官。
2015.01--2016.01  海南省白沙县公安局细水派出所试用期公务员
2016.01--2018.09  海南省白沙县公安局细水派出所科员
2018.09--2019.03  海南省白沙县公安局细水派出所一级警员
2019.03--         海南省白沙县公安局细水派出所四级警长"</t>
  </si>
  <si>
    <t>儋州市财政国库支付中心</t>
  </si>
  <si>
    <t>0601_市级会计站一级主任科员及以下</t>
  </si>
  <si>
    <t>2014.04--2018.08  澄迈县财政局永发财政所科员（借调至澄县财政局工作）
2018.08--         澄迈县财政局社会保障岗、政府采购管理岗负责人（2018.08--2020.12借调至澄县财政局工作，2021年1月编制由永发财政所调入澄县财政局）</t>
  </si>
  <si>
    <t>澄迈县</t>
  </si>
  <si>
    <t>2017.10--    临高县财政国库支付中心教科文站会计</t>
  </si>
  <si>
    <t>2013.12--2014.05  昌江县昌化镇财政所一级科员
2014.05--2016.07  借调至昌江县财政局预算岗一级科员
2016.07--         借调昌江县财政局经济建设岗四级主任科员</t>
  </si>
  <si>
    <t>昌江县</t>
  </si>
  <si>
    <t>2013.09--2017.06  北京信息科技大学就读
2017.11--2020.04  乐东县财政国库支付局任行政政法二站主管会计
2020.05--2020.10  乐东县财政国库支付局任监督岗科员
2020.11--         乐东县财政国库支付局任办公室主任</t>
  </si>
  <si>
    <t>乐东黎族自治县</t>
  </si>
  <si>
    <t>2010.07--2011.01  上海易方科技公司职员
2011.02--2011.03  待业
2011.04--2014.07  儋州市长岛房地产公司职员
2014.08--2014.10  待业
2014.11--2016.04  儋州市乡厨才煮餐饮有限公司仓管
2016.04--2016.09  待业
2016.10--2016.10  临高县财政局试用期公务员
2017.10--2019.06  临高县和舍财政所科员
2019.06--         临高县和舍财政所一级科员（期间：2019.03--2020.07在辽宁大学会计学专业函授学习）</t>
  </si>
  <si>
    <t>2016.01--2017.01 琼中黎族苗族自治县工商行政管理局企业注册室试用期公务员
2017.01--2017.12 琼中黎族苗族自治县工商行政管理局企业注册室科员
2017.12--2018.04 琼中黎族苗族自治县工商行政管理局企业注册室科员（借调于白沙县工商局信息化建设局长助理）
2018.04--2020.01 琼中黎族苗族自治县市场监督管理局组织人事室一级科员
2020.01--2021.07 琼中黎族苗族自治县市场监督管理局上安市场监督管理所一级科员
2021.07--         琼中黎族苗族自治县市场监督管理局 黎母山市场监督管理所一级科员</t>
  </si>
  <si>
    <t>儋州市接待办公室</t>
  </si>
  <si>
    <t>0801_接待一科一级主任科员及以下</t>
  </si>
  <si>
    <t xml:space="preserve">2015.08--2015.10  中国农业银行海口海秀支行职员 
2015.12--2016.12  儋州市地方税务局社保规费征管局试用期公务员   
2016.12--2018.09  儋州市地方税务局社保规费征管局科员  
2018.09--         国家税务总局儋州市税务局一级行政执法员 </t>
  </si>
  <si>
    <t>2010.09--2014.06  中南大学地球科学与信息物理学院地质工程专业学习
2014.06--2014.07  待业
2014.07--2016.02  广西有色金属集团资源勘查有限公司职员
2016.02--2016.10  待业
2016.10--2017.10  白沙县机关事务管理局试用期工作人员
2017.10--2018.02  白沙县机关事务管理局科员
2018.02--2018.07  白沙县机关事务管理局办公室主任
2018.07--2019.03  白沙县纪律检查委员会县监察委员会第四派驻纪检监察组科员
2019.03--2019.06  白沙县纪律检查委员会县监察委员会驻县农业农村局纪检监察组科员
2019.06--2020.12  白沙县纪律检查委员会县监察委员会驻县农业农村局纪检监察组一级科员       
2020.12--2021.05  白沙县纪律检查委员会县监察委员会四级主任科员
2021.05--        白沙县南开乡委员会委员、纪委书记、县监察委员会派出南开乡监察室主任中共白沙县第十四届纪委委员</t>
  </si>
  <si>
    <t>2014.01--2015.01  白沙县社会保险事业局试用期工作人员                           2015.01--2019.06  白沙县社会保险事业局科员                            2019.06--2020.01  白沙县社会保险服务中心一级科员
2020.01--         白沙县行政审批服务局一级科员"</t>
  </si>
  <si>
    <t>2014.09--2015.09  儋州市海头镇党政综合办公室试用期公务员
2015.09--2017.08  儋州市海头镇党政综合办公室科员
2017.08--2019.06  儋州市那大镇党政综合办公室科员
2019.06--2020.06  儋州市那大镇党政综合办公室一级科员
2020.06--2020.09  儋州市那大镇党政综合办公室一级科员（其间：2020.06--2020.09挂职市委宣传部精神文明建设综合协调科一级科员）
2020.09--2020.12  儋州市雅星镇人大副主席人选
2020.12--2021.08  儋州市雅星镇人大副主席
2021.08--2022.04  儋州市教育局党委办公室（市委教育工作领导小组秘书组办公室）干部
2022.04--        儋州市教育局办公室（市委教育工作领导小组秘书组办公室）四级主任科员</t>
  </si>
  <si>
    <t>2008.09--2012.06  苏州大学轻化工程专业学习
2012.06--2012.07  待业
2012.07--2015.05  广州纤维产品检测院质量监督员
2015.05--2016.10  待业
2016.10--2017.10  临高县南宝镇人民政府试用期公务员
2017.10--2019.03  临高县南宝镇人民政府科员
2019.03--2019.06  临高县南宝镇经济发展办公室主任
2019.06--2022.04  临高县南宝镇经济发展办公室主任 一级科员
2022.04--         临高县财政局经建室 一级科员</t>
  </si>
  <si>
    <t xml:space="preserve">2013.12--2016.09  五指山市农业技术与机械服务中心农产品质量安全检测员，兼任乡镇企业统计员及办公室人员
2016.09--2020.04  五指山市农业技术与机械服务中乡镇企业站站长（2019.02--2020.08五指山市番阳镇乡村振兴工作队员）
2020.04--2021.12  五指山市农业技术与机械服务中心乡镇企业站站长、四级主任科员；
2021.12--         五指山市农业技术与机械服务中心农机推广站站长、四级主任科员   </t>
  </si>
  <si>
    <t>2009.08--2012.07  中西部计划志愿者（2009.8-2011.8 三亚市崖城镇党政办；2011.08--2012.07  三亚市纪委宣教室）
2012.09--2014.12  东方市板桥镇党政办科员
2014.12--2019.06  东方市委办公室科员
2019.06--         东方市大田镇党委委员、宣传委员；东方市大田镇党委委员、大田镇人民政府副镇长</t>
  </si>
  <si>
    <t>·</t>
  </si>
  <si>
    <t>新州镇人民政府</t>
  </si>
  <si>
    <t>0901_党政综合办公室一级主任科员及以下</t>
  </si>
  <si>
    <t>琼海市</t>
  </si>
  <si>
    <t>2012.07--2014.10  五指山公安局河南派出所 辅警
2014.10--2015.11    待业
2015.11--          琼海市司法局中原司法所</t>
  </si>
  <si>
    <t>木棠镇人民政府</t>
  </si>
  <si>
    <t>1001_党政综合办公室一级主任科员及以下</t>
  </si>
  <si>
    <t>2014.12--2015.12  白沙县打安镇人民政府试用期公务员
2015.12--2019.06  白沙县打安镇人民政府科员
2019.06--         白沙县打安镇人民政府一级科员"</t>
  </si>
  <si>
    <t>2016.10--2017-10  海南省白沙县打安镇人民政府试用期公务员
2017.10--2019.06  海南省白沙县打安镇人民政府科员
2019.06--         海南省白沙县打安镇人民政府一级科员"</t>
  </si>
  <si>
    <t>2015.02--2016.10  儋州市测绘服务中心合同工
2016.10--2017.10  白沙县金波国土环境资源管理所试用期工作人员
2017.10--2019.06  白沙县金波国土环境资源管理所科员
2019.06--2020.11  白沙县金波国土环境资源管理所一级科员
2020.11--2021.07  白沙县金波自然资源和规划所一级科员
2021.07--         白沙黎族自治县自然资源和规划局自然资源调查监测室主任"</t>
  </si>
  <si>
    <t>2011.07--2013.08  白沙县人社局工作（中西部志愿者）
2013.09--2014.11  东方市感城中心校信息技术教师（特岗教师）
2014.12--2015.12  海南省白沙县打安镇人民政府试用期公务员
2015.12--2019.06  海南省白沙县打安镇人民政府科员
2019.06--2022.03  海南省白沙县打安镇人民政府一级科员
2022.03--         海南省白沙县打安镇人民政府一级科员（党政办主任）</t>
  </si>
  <si>
    <t>中和镇人民政府</t>
  </si>
  <si>
    <t>1101_经济发展办公室一级主任科员及以下</t>
  </si>
  <si>
    <t>2010.09--2014.07   南昌大学共青学院会计学专业学生
2014.07--2015.11   待业
2015.11--2022.06   临高县财政国库支付中心和舍支付站会计员，
2022.06--          临高县财政国库支付中心南宝支付站负责人</t>
  </si>
  <si>
    <t>2009.09—2013.07  重庆工商大学社会与公共管理学院劳动与社会保障专业学习
2013.07—2016.10  待业
2016.10—2017.10  白沙县阜龙乡人民政府试用期公务员
2017.10—2018.05  白沙县阜龙乡人民政府科员
2018.05—2019.06  白沙县打安镇人民政府科员
2019.06—2020.12  白沙县打安镇人民政府一级科员（其间：2020.05—2020.11借调到白沙县纪委监委工作）
2020.12—2021.06  白沙县打安镇社会事务办公室主任、四级主任科员（其间：2021.05——2021.07借调到白沙县巡察办工作）
2021.06—2022.06  白沙县荣邦乡纪律检查委员会专职副书记（试用期一年）、县监察委员会派出荣邦乡监察室副主任（其间：2021.11——2022.8借调到白沙县纪委监委工作）
2022.06—         白沙县荣邦乡纪律检查委员会专职副书记、县监察委员会派出荣邦乡监察室副主任</t>
  </si>
  <si>
    <t>2013.05--2018.11   儋州市那大镇铺仔社区“两委”干部
2018.12--2019.02   儋州市那大镇禁毒专干
2019.02--2020.02   乐东黎族自治县委组织部党员教育电化中心试用期人员
2020.03--          乐东黎族自治县委组织部党员教育电化中心一级科员</t>
  </si>
  <si>
    <t>2011.09--2015.07  广西民族师范学院中文系汉语言文学（公共关系与文秘）
2015.07--2016.10  待业
2016.10--2017.10  白沙县水务局试用期工作人员
2017.10--2018.07  白沙县水务局科员
2018.07--2019.05  白沙县水务局办公室主任
2019.05--2019.06  白沙县农业农村局科员
2019.06--2020.06  白沙县农业农村局一级科员 
2020.06--2021.10  白沙县政府办公室一级科员
2021.10--2021.11  白沙县细水乡人民政府副乡长提名候选人
2021.11--         白沙县细水乡人民政府副乡长</t>
  </si>
  <si>
    <t>2015.06--2016.09  海南飞科医疗器械有限公司职员
2016.10--2017.10  白沙县打安国土环境资源管理所试用期工作人员
2017.10--2019.06  白沙县打安国土环境资源管理所科员
2019.06--2020.11  白沙县打安国土环境资源管理所一级科员
2020.11--         白沙县打安自然资源和规划所一级科员</t>
  </si>
  <si>
    <t>2007.09--2011.07  长江大学园艺园林学院园林专业学习
2011.07--2013.08  汉江集团丹江口博远置业有限责任公司员工
2013.08--2014.05  待业
2014.05--2015.06  琼中县规划局试用期管理人员
2015.06--2015.11  琼中县规划局管理人员
2015.11--2019.03  琼中县规划局法规监察股专业技术人员
2019.03--2019.05  琼中县自然资源和规划局专业技术人员
2019.05--2019.06  琼中县自然资源和规划局科员
2019.06--2019.09  琼中县自然资源和规划局一级科员
2019.09--2019.11  琼中县综合行政执法局一级科员
2019.11--2020.11  琼中县综合行政执法局党组成员、副局长（试用期一年）
2020.11--2021.05  琼中县综合行政执法局党组成员、副局长
2021.05--2021.12  琼中县营根镇人民政府副镇长候选人
2021.12--         琼中县营根镇人民政府副镇长</t>
  </si>
  <si>
    <t>定安县</t>
  </si>
  <si>
    <t>2012.09--2015.01  海南省国际旅游岛商报社任职记者
2015.01--2016.09  儋州市儋州新闻中心任职记者
2016.10--         临高县新盈镇人民政府党政办一级科员</t>
  </si>
  <si>
    <t>2022年儋州市面向全省公开选调公务员拟录用人选名单(第一批）</t>
  </si>
  <si>
    <t>准考证号</t>
  </si>
  <si>
    <t>学位学历</t>
  </si>
  <si>
    <t>专业</t>
  </si>
  <si>
    <t>毕业院校</t>
  </si>
  <si>
    <t>现工作单位</t>
  </si>
  <si>
    <t>拟录用单位</t>
  </si>
  <si>
    <t>拟录用岗位</t>
  </si>
  <si>
    <t>杨雪惠</t>
  </si>
  <si>
    <t>女</t>
  </si>
  <si>
    <t>202207230104</t>
  </si>
  <si>
    <t>大学经济学学士</t>
  </si>
  <si>
    <t>经济学专业</t>
  </si>
  <si>
    <t>湘潭大学</t>
  </si>
  <si>
    <t>东方市发展和改革委员会</t>
  </si>
  <si>
    <t>0101_决策咨询科
三级主任科员及以下</t>
  </si>
  <si>
    <t>汪乃甫</t>
  </si>
  <si>
    <t>男</t>
  </si>
  <si>
    <t>202207230213</t>
  </si>
  <si>
    <t>大学工学学士</t>
  </si>
  <si>
    <t>土木工程专业</t>
  </si>
  <si>
    <t>长沙理工大学</t>
  </si>
  <si>
    <t>白沙黎族自治县
打安镇人民政府</t>
  </si>
  <si>
    <t>曾维清</t>
  </si>
  <si>
    <t>202207230219</t>
  </si>
  <si>
    <t>大学理学学士</t>
  </si>
  <si>
    <t>药事管理专业</t>
  </si>
  <si>
    <t>中国药科大学</t>
  </si>
  <si>
    <t>琼中黎族苗族自治县市场监督管理局</t>
  </si>
  <si>
    <t>王志逍</t>
  </si>
  <si>
    <t>202207230306</t>
  </si>
  <si>
    <t>重庆工商大学</t>
  </si>
  <si>
    <t>国家税务总局琼中黎族苗族自治县税务局</t>
  </si>
  <si>
    <t>林盛祥</t>
  </si>
  <si>
    <t>202207230310</t>
  </si>
  <si>
    <t>大学管理学学士</t>
  </si>
  <si>
    <t>会计学专业</t>
  </si>
  <si>
    <t>西安财经学院行知学院</t>
  </si>
  <si>
    <t>澄迈县财政局</t>
  </si>
  <si>
    <t>王佳宜</t>
  </si>
  <si>
    <t>202207230313</t>
  </si>
  <si>
    <t>山东财经大学</t>
  </si>
  <si>
    <t>临高县财政国库支付中心</t>
  </si>
  <si>
    <t>何文江</t>
  </si>
  <si>
    <t>202207230409</t>
  </si>
  <si>
    <t>大学文学学士</t>
  </si>
  <si>
    <t>汉语言文学专业</t>
  </si>
  <si>
    <t>江西师范大学科学技术学院</t>
  </si>
  <si>
    <t>白沙黎族自治县
邦溪镇人民政府</t>
  </si>
  <si>
    <t>儋州市木棠镇人民政府</t>
  </si>
  <si>
    <t>吴贤新</t>
  </si>
  <si>
    <t>202207230408</t>
  </si>
  <si>
    <t>建筑环境与设备工程专业</t>
  </si>
  <si>
    <t>河北工程大学</t>
  </si>
  <si>
    <t>胡英鹏</t>
  </si>
  <si>
    <t>202207230404</t>
  </si>
  <si>
    <t>电子信息工程专业</t>
  </si>
  <si>
    <t>西安电子科技大学</t>
  </si>
  <si>
    <t>琼海市公安局</t>
  </si>
  <si>
    <t>儋州市新州镇人民政府</t>
  </si>
  <si>
    <t>陈泰壮</t>
  </si>
  <si>
    <t>202207230413</t>
  </si>
  <si>
    <t>劳动与社会保障专业</t>
  </si>
  <si>
    <t>白沙黎族自治县
荣邦乡人民政府</t>
  </si>
  <si>
    <t>儋州市中和镇人民政府</t>
  </si>
  <si>
    <t>羊健章</t>
  </si>
  <si>
    <t>202207230412</t>
  </si>
  <si>
    <t>大学农学学士</t>
  </si>
  <si>
    <t>园林专业</t>
  </si>
  <si>
    <t>长江大学</t>
  </si>
  <si>
    <t>琼中黎族苗族自治县营根镇人民政府</t>
  </si>
  <si>
    <t>列N</t>
  </si>
  <si>
    <t>计数</t>
  </si>
</sst>
</file>

<file path=xl/styles.xml><?xml version="1.0" encoding="utf-8"?>
<styleSheet xmlns="http://schemas.openxmlformats.org/spreadsheetml/2006/main">
  <numFmts count="5">
    <numFmt numFmtId="176" formatCode="0.00_ "/>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8">
    <font>
      <sz val="11"/>
      <color theme="1"/>
      <name val="宋体"/>
      <charset val="134"/>
      <scheme val="minor"/>
    </font>
    <font>
      <sz val="11"/>
      <color theme="1"/>
      <name val="黑体"/>
      <charset val="134"/>
    </font>
    <font>
      <b/>
      <sz val="11"/>
      <color theme="1"/>
      <name val="宋体"/>
      <charset val="134"/>
      <scheme val="minor"/>
    </font>
    <font>
      <b/>
      <u/>
      <sz val="11"/>
      <color theme="1"/>
      <name val="宋体"/>
      <charset val="134"/>
      <scheme val="minor"/>
    </font>
    <font>
      <b/>
      <sz val="20"/>
      <color theme="1"/>
      <name val="宋体"/>
      <charset val="134"/>
      <scheme val="minor"/>
    </font>
    <font>
      <sz val="14"/>
      <color theme="1"/>
      <name val="黑体"/>
      <charset val="134"/>
    </font>
    <font>
      <sz val="12"/>
      <color theme="1"/>
      <name val="仿宋_GB2312"/>
      <charset val="134"/>
    </font>
    <font>
      <u/>
      <sz val="11"/>
      <color theme="1"/>
      <name val="宋体"/>
      <charset val="134"/>
      <scheme val="minor"/>
    </font>
    <font>
      <b/>
      <sz val="22"/>
      <color theme="1"/>
      <name val="宋体"/>
      <charset val="134"/>
      <scheme val="minor"/>
    </font>
    <font>
      <u/>
      <sz val="14"/>
      <color theme="1"/>
      <name val="宋体"/>
      <charset val="134"/>
      <scheme val="minor"/>
    </font>
    <font>
      <sz val="14"/>
      <color theme="1"/>
      <name val="宋体"/>
      <charset val="134"/>
      <scheme val="minor"/>
    </font>
    <font>
      <i/>
      <sz val="11"/>
      <color rgb="FF7F7F7F"/>
      <name val="宋体"/>
      <charset val="134"/>
      <scheme val="minor"/>
    </font>
    <font>
      <b/>
      <sz val="11"/>
      <color theme="3"/>
      <name val="宋体"/>
      <charset val="134"/>
      <scheme val="minor"/>
    </font>
    <font>
      <u/>
      <sz val="11"/>
      <color rgb="FF800080"/>
      <name val="宋体"/>
      <charset val="134"/>
      <scheme val="minor"/>
    </font>
    <font>
      <sz val="11"/>
      <color rgb="FF9C0006"/>
      <name val="宋体"/>
      <charset val="134"/>
      <scheme val="minor"/>
    </font>
    <font>
      <sz val="11"/>
      <color theme="0"/>
      <name val="宋体"/>
      <charset val="134"/>
      <scheme val="minor"/>
    </font>
    <font>
      <b/>
      <sz val="11"/>
      <color rgb="FF3F3F3F"/>
      <name val="宋体"/>
      <charset val="134"/>
      <scheme val="minor"/>
    </font>
    <font>
      <b/>
      <sz val="15"/>
      <color theme="3"/>
      <name val="宋体"/>
      <charset val="134"/>
      <scheme val="minor"/>
    </font>
    <font>
      <b/>
      <sz val="18"/>
      <color theme="3"/>
      <name val="宋体"/>
      <charset val="134"/>
      <scheme val="minor"/>
    </font>
    <font>
      <u/>
      <sz val="11"/>
      <color rgb="FF0000FF"/>
      <name val="宋体"/>
      <charset val="134"/>
      <scheme val="minor"/>
    </font>
    <font>
      <sz val="11"/>
      <color rgb="FF9C6500"/>
      <name val="宋体"/>
      <charset val="134"/>
      <scheme val="minor"/>
    </font>
    <font>
      <sz val="11"/>
      <color rgb="FF3F3F76"/>
      <name val="宋体"/>
      <charset val="134"/>
      <scheme val="minor"/>
    </font>
    <font>
      <sz val="11"/>
      <color rgb="FF006100"/>
      <name val="宋体"/>
      <charset val="134"/>
      <scheme val="minor"/>
    </font>
    <font>
      <b/>
      <sz val="11"/>
      <color rgb="FFFFFFFF"/>
      <name val="宋体"/>
      <charset val="134"/>
      <scheme val="minor"/>
    </font>
    <font>
      <b/>
      <sz val="13"/>
      <color theme="3"/>
      <name val="宋体"/>
      <charset val="134"/>
      <scheme val="minor"/>
    </font>
    <font>
      <sz val="11"/>
      <color rgb="FFFF0000"/>
      <name val="宋体"/>
      <charset val="134"/>
      <scheme val="minor"/>
    </font>
    <font>
      <sz val="11"/>
      <color rgb="FFFA7D00"/>
      <name val="宋体"/>
      <charset val="134"/>
      <scheme val="minor"/>
    </font>
    <font>
      <b/>
      <sz val="11"/>
      <color rgb="FFFA7D00"/>
      <name val="宋体"/>
      <charset val="134"/>
      <scheme val="minor"/>
    </font>
  </fonts>
  <fills count="33">
    <fill>
      <patternFill patternType="none"/>
    </fill>
    <fill>
      <patternFill patternType="gray125"/>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0" fillId="21" borderId="0" applyNumberFormat="0" applyBorder="0" applyAlignment="0" applyProtection="0">
      <alignment vertical="center"/>
    </xf>
    <xf numFmtId="0" fontId="21" fillId="18"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0" fillId="3" borderId="0" applyNumberFormat="0" applyBorder="0" applyAlignment="0" applyProtection="0">
      <alignment vertical="center"/>
    </xf>
    <xf numFmtId="0" fontId="14" fillId="4" borderId="0" applyNumberFormat="0" applyBorder="0" applyAlignment="0" applyProtection="0">
      <alignment vertical="center"/>
    </xf>
    <xf numFmtId="43" fontId="0" fillId="0" borderId="0" applyFont="0" applyFill="0" applyBorder="0" applyAlignment="0" applyProtection="0">
      <alignment vertical="center"/>
    </xf>
    <xf numFmtId="0" fontId="15" fillId="17"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10" borderId="4" applyNumberFormat="0" applyFont="0" applyAlignment="0" applyProtection="0">
      <alignment vertical="center"/>
    </xf>
    <xf numFmtId="0" fontId="15" fillId="28" borderId="0" applyNumberFormat="0" applyBorder="0" applyAlignment="0" applyProtection="0">
      <alignment vertical="center"/>
    </xf>
    <xf numFmtId="0" fontId="12"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7" fillId="0" borderId="3" applyNumberFormat="0" applyFill="0" applyAlignment="0" applyProtection="0">
      <alignment vertical="center"/>
    </xf>
    <xf numFmtId="0" fontId="24" fillId="0" borderId="3" applyNumberFormat="0" applyFill="0" applyAlignment="0" applyProtection="0">
      <alignment vertical="center"/>
    </xf>
    <xf numFmtId="0" fontId="15" fillId="16" borderId="0" applyNumberFormat="0" applyBorder="0" applyAlignment="0" applyProtection="0">
      <alignment vertical="center"/>
    </xf>
    <xf numFmtId="0" fontId="12" fillId="0" borderId="6" applyNumberFormat="0" applyFill="0" applyAlignment="0" applyProtection="0">
      <alignment vertical="center"/>
    </xf>
    <xf numFmtId="0" fontId="15" fillId="15" borderId="0" applyNumberFormat="0" applyBorder="0" applyAlignment="0" applyProtection="0">
      <alignment vertical="center"/>
    </xf>
    <xf numFmtId="0" fontId="16" fillId="9" borderId="2" applyNumberFormat="0" applyAlignment="0" applyProtection="0">
      <alignment vertical="center"/>
    </xf>
    <xf numFmtId="0" fontId="27" fillId="9" borderId="7" applyNumberFormat="0" applyAlignment="0" applyProtection="0">
      <alignment vertical="center"/>
    </xf>
    <xf numFmtId="0" fontId="23" fillId="26" borderId="8" applyNumberFormat="0" applyAlignment="0" applyProtection="0">
      <alignment vertical="center"/>
    </xf>
    <xf numFmtId="0" fontId="0" fillId="20" borderId="0" applyNumberFormat="0" applyBorder="0" applyAlignment="0" applyProtection="0">
      <alignment vertical="center"/>
    </xf>
    <xf numFmtId="0" fontId="15" fillId="8" borderId="0" applyNumberFormat="0" applyBorder="0" applyAlignment="0" applyProtection="0">
      <alignment vertical="center"/>
    </xf>
    <xf numFmtId="0" fontId="26" fillId="0" borderId="9" applyNumberFormat="0" applyFill="0" applyAlignment="0" applyProtection="0">
      <alignment vertical="center"/>
    </xf>
    <xf numFmtId="0" fontId="2" fillId="0" borderId="5" applyNumberFormat="0" applyFill="0" applyAlignment="0" applyProtection="0">
      <alignment vertical="center"/>
    </xf>
    <xf numFmtId="0" fontId="22" fillId="19" borderId="0" applyNumberFormat="0" applyBorder="0" applyAlignment="0" applyProtection="0">
      <alignment vertical="center"/>
    </xf>
    <xf numFmtId="0" fontId="20" fillId="14" borderId="0" applyNumberFormat="0" applyBorder="0" applyAlignment="0" applyProtection="0">
      <alignment vertical="center"/>
    </xf>
    <xf numFmtId="0" fontId="0" fillId="32" borderId="0" applyNumberFormat="0" applyBorder="0" applyAlignment="0" applyProtection="0">
      <alignment vertical="center"/>
    </xf>
    <xf numFmtId="0" fontId="15" fillId="7" borderId="0" applyNumberFormat="0" applyBorder="0" applyAlignment="0" applyProtection="0">
      <alignment vertical="center"/>
    </xf>
    <xf numFmtId="0" fontId="0" fillId="31" borderId="0" applyNumberFormat="0" applyBorder="0" applyAlignment="0" applyProtection="0">
      <alignment vertical="center"/>
    </xf>
    <xf numFmtId="0" fontId="0" fillId="25" borderId="0" applyNumberFormat="0" applyBorder="0" applyAlignment="0" applyProtection="0">
      <alignment vertical="center"/>
    </xf>
    <xf numFmtId="0" fontId="0" fillId="30" borderId="0" applyNumberFormat="0" applyBorder="0" applyAlignment="0" applyProtection="0">
      <alignment vertical="center"/>
    </xf>
    <xf numFmtId="0" fontId="0" fillId="24" borderId="0" applyNumberFormat="0" applyBorder="0" applyAlignment="0" applyProtection="0">
      <alignment vertical="center"/>
    </xf>
    <xf numFmtId="0" fontId="15" fillId="12" borderId="0" applyNumberFormat="0" applyBorder="0" applyAlignment="0" applyProtection="0">
      <alignment vertical="center"/>
    </xf>
    <xf numFmtId="0" fontId="15" fillId="6" borderId="0" applyNumberFormat="0" applyBorder="0" applyAlignment="0" applyProtection="0">
      <alignment vertical="center"/>
    </xf>
    <xf numFmtId="0" fontId="0" fillId="29" borderId="0" applyNumberFormat="0" applyBorder="0" applyAlignment="0" applyProtection="0">
      <alignment vertical="center"/>
    </xf>
    <xf numFmtId="0" fontId="0" fillId="23" borderId="0" applyNumberFormat="0" applyBorder="0" applyAlignment="0" applyProtection="0">
      <alignment vertical="center"/>
    </xf>
    <xf numFmtId="0" fontId="15" fillId="5" borderId="0" applyNumberFormat="0" applyBorder="0" applyAlignment="0" applyProtection="0">
      <alignment vertical="center"/>
    </xf>
    <xf numFmtId="0" fontId="0" fillId="22" borderId="0" applyNumberFormat="0" applyBorder="0" applyAlignment="0" applyProtection="0">
      <alignment vertical="center"/>
    </xf>
    <xf numFmtId="0" fontId="15" fillId="27" borderId="0" applyNumberFormat="0" applyBorder="0" applyAlignment="0" applyProtection="0">
      <alignment vertical="center"/>
    </xf>
    <xf numFmtId="0" fontId="15" fillId="11" borderId="0" applyNumberFormat="0" applyBorder="0" applyAlignment="0" applyProtection="0">
      <alignment vertical="center"/>
    </xf>
    <xf numFmtId="0" fontId="0" fillId="2" borderId="0" applyNumberFormat="0" applyBorder="0" applyAlignment="0" applyProtection="0">
      <alignment vertical="center"/>
    </xf>
    <xf numFmtId="0" fontId="15" fillId="13" borderId="0" applyNumberFormat="0" applyBorder="0" applyAlignment="0" applyProtection="0">
      <alignment vertical="center"/>
    </xf>
  </cellStyleXfs>
  <cellXfs count="29">
    <xf numFmtId="0" fontId="0" fillId="0" borderId="0" xfId="0">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3" fillId="0" borderId="0" xfId="0" applyFont="1" applyFill="1" applyAlignment="1">
      <alignment horizontal="center" vertical="center"/>
    </xf>
    <xf numFmtId="0" fontId="0" fillId="0" borderId="0" xfId="0" applyFont="1" applyFill="1">
      <alignment vertical="center"/>
    </xf>
    <xf numFmtId="0" fontId="0" fillId="0" borderId="0" xfId="0" applyFont="1" applyFill="1" applyAlignment="1">
      <alignment vertical="center" wrapText="1"/>
    </xf>
    <xf numFmtId="0" fontId="0" fillId="0" borderId="0" xfId="0" applyFill="1">
      <alignment vertical="center"/>
    </xf>
    <xf numFmtId="0" fontId="4" fillId="0" borderId="0" xfId="0" applyFont="1" applyFill="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0" xfId="0" applyFont="1" applyFill="1" applyAlignment="1">
      <alignment horizontal="center" vertical="center"/>
    </xf>
    <xf numFmtId="0" fontId="0" fillId="0" borderId="0" xfId="0" applyFill="1" applyAlignment="1">
      <alignment horizontal="center" vertical="center"/>
    </xf>
    <xf numFmtId="0" fontId="7" fillId="0" borderId="0" xfId="0" applyFont="1" applyFill="1">
      <alignment vertical="center"/>
    </xf>
    <xf numFmtId="176" fontId="0" fillId="0" borderId="0" xfId="0" applyNumberFormat="1" applyFont="1" applyFill="1">
      <alignment vertical="center"/>
    </xf>
    <xf numFmtId="0" fontId="0" fillId="0" borderId="0" xfId="0" applyFill="1" applyAlignment="1">
      <alignment vertical="center" wrapText="1"/>
    </xf>
    <xf numFmtId="0" fontId="8" fillId="0" borderId="0" xfId="0" applyFont="1" applyFill="1" applyAlignment="1">
      <alignment horizontal="center" vertical="center" wrapText="1"/>
    </xf>
    <xf numFmtId="176" fontId="8" fillId="0" borderId="0" xfId="0" applyNumberFormat="1" applyFont="1" applyFill="1" applyAlignment="1">
      <alignment horizontal="center" vertical="center" wrapText="1"/>
    </xf>
    <xf numFmtId="176" fontId="5"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176" fontId="9"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176" fontId="10" fillId="0" borderId="1" xfId="0" applyNumberFormat="1" applyFont="1" applyFill="1" applyBorder="1" applyAlignment="1">
      <alignment horizontal="center" vertical="center" wrapText="1"/>
    </xf>
    <xf numFmtId="0" fontId="5" fillId="0" borderId="0" xfId="0" applyFont="1" applyFill="1" applyAlignment="1">
      <alignment horizontal="center" vertical="center" wrapText="1"/>
    </xf>
    <xf numFmtId="0" fontId="9" fillId="0" borderId="1" xfId="0" applyFont="1" applyFill="1" applyBorder="1" applyAlignment="1">
      <alignment horizontal="left" vertical="center" wrapText="1"/>
    </xf>
    <xf numFmtId="0" fontId="9" fillId="0" borderId="0" xfId="0" applyFont="1" applyFill="1" applyAlignment="1">
      <alignment horizontal="left" vertical="center" wrapText="1"/>
    </xf>
    <xf numFmtId="0" fontId="9" fillId="0" borderId="1" xfId="0" applyFont="1" applyFill="1" applyBorder="1" applyAlignment="1">
      <alignment vertical="center" wrapText="1"/>
    </xf>
    <xf numFmtId="0" fontId="9" fillId="0" borderId="0" xfId="0" applyFont="1" applyFill="1" applyAlignment="1">
      <alignment vertical="center" wrapText="1"/>
    </xf>
    <xf numFmtId="0" fontId="10" fillId="0" borderId="1" xfId="0" applyFont="1" applyFill="1" applyBorder="1" applyAlignment="1">
      <alignment horizontal="left" vertical="center" wrapText="1"/>
    </xf>
    <xf numFmtId="0" fontId="10" fillId="0" borderId="0" xfId="0" applyFont="1" applyFill="1" applyAlignment="1">
      <alignment horizontal="left" vertical="center" wrapText="1"/>
    </xf>
    <xf numFmtId="0" fontId="6" fillId="0" borderId="1" xfId="0" applyFont="1" applyFill="1"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58"/>
  <sheetViews>
    <sheetView view="pageBreakPreview" zoomScale="70" zoomScaleNormal="55" zoomScaleSheetLayoutView="70" topLeftCell="A13" workbookViewId="0">
      <selection activeCell="C17" sqref="C17"/>
    </sheetView>
  </sheetViews>
  <sheetFormatPr defaultColWidth="9" defaultRowHeight="13.5"/>
  <cols>
    <col min="1" max="1" width="4.875" style="4" customWidth="1"/>
    <col min="2" max="2" width="10.5333333333333" style="4" customWidth="1"/>
    <col min="3" max="3" width="15.5333333333333" style="4" customWidth="1"/>
    <col min="4" max="4" width="8.91666666666667" style="4" customWidth="1"/>
    <col min="5" max="5" width="5.125" style="4" customWidth="1"/>
    <col min="6" max="6" width="11.6" style="13" customWidth="1"/>
    <col min="7" max="7" width="7.14166666666667" style="5" customWidth="1"/>
    <col min="8" max="8" width="7.85833333333333" style="5" customWidth="1"/>
    <col min="9" max="9" width="6.78333333333333" style="5" customWidth="1"/>
    <col min="10" max="10" width="9.81666666666667" style="5" customWidth="1"/>
    <col min="11" max="11" width="9.46666666666667" style="5" customWidth="1"/>
    <col min="12" max="12" width="11.6083333333333" style="5" customWidth="1"/>
    <col min="13" max="13" width="88.175" style="5" customWidth="1"/>
    <col min="14" max="14" width="19.9916666666667" style="14" customWidth="1"/>
    <col min="15" max="16384" width="9" style="6"/>
  </cols>
  <sheetData>
    <row r="1" ht="51" customHeight="1" spans="1:14">
      <c r="A1" s="15" t="s">
        <v>0</v>
      </c>
      <c r="B1" s="15"/>
      <c r="C1" s="15"/>
      <c r="D1" s="15"/>
      <c r="E1" s="15"/>
      <c r="F1" s="16"/>
      <c r="G1" s="15"/>
      <c r="H1" s="15"/>
      <c r="I1" s="15"/>
      <c r="J1" s="15"/>
      <c r="K1" s="15"/>
      <c r="L1" s="15"/>
      <c r="M1" s="15"/>
      <c r="N1" s="15"/>
    </row>
    <row r="2" s="1" customFormat="1" ht="78" customHeight="1" spans="1:14">
      <c r="A2" s="8" t="s">
        <v>1</v>
      </c>
      <c r="B2" s="8" t="s">
        <v>2</v>
      </c>
      <c r="C2" s="8" t="s">
        <v>3</v>
      </c>
      <c r="D2" s="8" t="s">
        <v>4</v>
      </c>
      <c r="E2" s="8" t="s">
        <v>5</v>
      </c>
      <c r="F2" s="17" t="s">
        <v>6</v>
      </c>
      <c r="G2" s="8" t="s">
        <v>7</v>
      </c>
      <c r="H2" s="8" t="s">
        <v>8</v>
      </c>
      <c r="I2" s="8" t="s">
        <v>9</v>
      </c>
      <c r="J2" s="8" t="s">
        <v>10</v>
      </c>
      <c r="K2" s="8" t="s">
        <v>11</v>
      </c>
      <c r="L2" s="8" t="s">
        <v>12</v>
      </c>
      <c r="M2" s="8" t="s">
        <v>13</v>
      </c>
      <c r="N2" s="22"/>
    </row>
    <row r="3" s="10" customFormat="1" ht="85" customHeight="1" spans="1:15">
      <c r="A3" s="18">
        <v>1</v>
      </c>
      <c r="B3" s="18" t="s">
        <v>14</v>
      </c>
      <c r="C3" s="18" t="s">
        <v>15</v>
      </c>
      <c r="D3" s="18" t="str">
        <f>"杨雪惠"</f>
        <v>杨雪惠</v>
      </c>
      <c r="E3" s="18" t="str">
        <f>"女"</f>
        <v>女</v>
      </c>
      <c r="F3" s="19">
        <v>1993.06</v>
      </c>
      <c r="G3" s="18" t="str">
        <f>"中共预备党员"</f>
        <v>中共预备党员</v>
      </c>
      <c r="H3" s="18" t="str">
        <f>"本科"</f>
        <v>本科</v>
      </c>
      <c r="I3" s="18" t="str">
        <f>"学士"</f>
        <v>学士</v>
      </c>
      <c r="J3" s="18" t="str">
        <f>"经济学"</f>
        <v>经济学</v>
      </c>
      <c r="K3" s="18" t="str">
        <f>"湘潭大学"</f>
        <v>湘潭大学</v>
      </c>
      <c r="L3" s="18" t="str">
        <f>"东方市委组织部"</f>
        <v>东方市委组织部</v>
      </c>
      <c r="M3" s="23" t="str">
        <f>"2016.10--2022.06  东方市发展和改革委员会国民经济综合及中长期规划岗
2022.6--          东方市委组织部研究室主任（挂职）"</f>
        <v>2016.10--2022.06  东方市发展和改革委员会国民经济综合及中长期规划岗
2022.6--          东方市委组织部研究室主任（挂职）</v>
      </c>
      <c r="N3" s="24" t="s">
        <v>16</v>
      </c>
      <c r="O3" s="10" t="s">
        <v>17</v>
      </c>
    </row>
    <row r="4" s="10" customFormat="1" ht="133" customHeight="1" spans="1:15">
      <c r="A4" s="18">
        <v>2</v>
      </c>
      <c r="B4" s="18" t="s">
        <v>14</v>
      </c>
      <c r="C4" s="18" t="s">
        <v>15</v>
      </c>
      <c r="D4" s="18" t="str">
        <f>"李家弦"</f>
        <v>李家弦</v>
      </c>
      <c r="E4" s="18" t="str">
        <f>"男"</f>
        <v>男</v>
      </c>
      <c r="F4" s="19">
        <v>1991.08</v>
      </c>
      <c r="G4" s="18" t="str">
        <f>"中共党员"</f>
        <v>中共党员</v>
      </c>
      <c r="H4" s="18" t="str">
        <f>"本科"</f>
        <v>本科</v>
      </c>
      <c r="I4" s="18" t="str">
        <f>"学士"</f>
        <v>学士</v>
      </c>
      <c r="J4" s="18" t="str">
        <f>"新闻学"</f>
        <v>新闻学</v>
      </c>
      <c r="K4" s="18" t="str">
        <f>"中国劳动关系学院"</f>
        <v>中国劳动关系学院</v>
      </c>
      <c r="L4" s="18" t="str">
        <f>"海南省白沙黎族自治县打安镇人民政府"</f>
        <v>海南省白沙黎族自治县打安镇人民政府</v>
      </c>
      <c r="M4" s="23" t="str">
        <f>"2011.09--2015.06  中国劳动关系学院文化传播学院新闻学专业学习
2015.06--2016.10  待业
2016.10--2017.10  白沙黎族自治县打安镇人民政府试用期公务员
2017.10--2019.06  白沙黎族自治县打安镇人民政府科员
2019.06--         白沙黎族自治县打安镇人民政府一级科员"</f>
        <v>2011.09--2015.06  中国劳动关系学院文化传播学院新闻学专业学习
2015.06--2016.10  待业
2016.10--2017.10  白沙黎族自治县打安镇人民政府试用期公务员
2017.10--2019.06  白沙黎族自治县打安镇人民政府科员
2019.06--         白沙黎族自治县打安镇人民政府一级科员</v>
      </c>
      <c r="N4" s="24" t="s">
        <v>18</v>
      </c>
      <c r="O4" s="10" t="s">
        <v>17</v>
      </c>
    </row>
    <row r="5" s="10" customFormat="1" ht="105" customHeight="1" spans="1:15">
      <c r="A5" s="18">
        <v>3</v>
      </c>
      <c r="B5" s="18" t="s">
        <v>14</v>
      </c>
      <c r="C5" s="18" t="s">
        <v>15</v>
      </c>
      <c r="D5" s="18" t="str">
        <f>"张玲"</f>
        <v>张玲</v>
      </c>
      <c r="E5" s="18" t="str">
        <f>"女"</f>
        <v>女</v>
      </c>
      <c r="F5" s="18">
        <v>1988.09</v>
      </c>
      <c r="G5" s="18" t="str">
        <f>"中共党员"</f>
        <v>中共党员</v>
      </c>
      <c r="H5" s="18" t="str">
        <f>"本科"</f>
        <v>本科</v>
      </c>
      <c r="I5" s="18" t="str">
        <f>"学士"</f>
        <v>学士</v>
      </c>
      <c r="J5" s="18" t="str">
        <f>"法学"</f>
        <v>法学</v>
      </c>
      <c r="K5" s="18" t="str">
        <f>"广东警官学院"</f>
        <v>广东警官学院</v>
      </c>
      <c r="L5" s="18" t="str">
        <f>"儋州市公安局东风派出所"</f>
        <v>儋州市公安局东风派出所</v>
      </c>
      <c r="M5" s="25" t="str">
        <f>"2014年通过海南省公务员考试考入儋州市公安局，2015年01月被分配至儋州市公安局东风派出所就职，任内勤民警，负责整个派出所材料的收集、上报，传达，文案的起草和撰写工作。期间一直在东风派出所工作，未调离。"</f>
        <v>2014年通过海南省公务员考试考入儋州市公安局，2015年01月被分配至儋州市公安局东风派出所就职，任内勤民警，负责整个派出所材料的收集、上报，传达，文案的起草和撰写工作。期间一直在东风派出所工作，未调离。</v>
      </c>
      <c r="N5" s="26" t="s">
        <v>19</v>
      </c>
      <c r="O5" s="10" t="s">
        <v>17</v>
      </c>
    </row>
    <row r="6" s="11" customFormat="1" ht="180" customHeight="1" spans="1:14">
      <c r="A6" s="20">
        <v>7</v>
      </c>
      <c r="B6" s="20" t="s">
        <v>20</v>
      </c>
      <c r="C6" s="20" t="s">
        <v>21</v>
      </c>
      <c r="D6" s="20" t="str">
        <f>"杨艺璇"</f>
        <v>杨艺璇</v>
      </c>
      <c r="E6" s="20" t="str">
        <f>"女"</f>
        <v>女</v>
      </c>
      <c r="F6" s="21">
        <v>1994.09</v>
      </c>
      <c r="G6" s="20" t="str">
        <f>"群众"</f>
        <v>群众</v>
      </c>
      <c r="H6" s="20" t="str">
        <f t="shared" ref="H6:H15" si="0">"本科"</f>
        <v>本科</v>
      </c>
      <c r="I6" s="20" t="str">
        <f t="shared" ref="I6:I15" si="1">"学士"</f>
        <v>学士</v>
      </c>
      <c r="J6" s="20" t="str">
        <f>"国际经济与贸易"</f>
        <v>国际经济与贸易</v>
      </c>
      <c r="K6" s="20" t="str">
        <f>"湖南工业大学"</f>
        <v>湖南工业大学</v>
      </c>
      <c r="L6" s="20" t="str">
        <f>"临高县统计局"</f>
        <v>临高县统计局</v>
      </c>
      <c r="M6" s="27" t="s">
        <v>22</v>
      </c>
      <c r="N6" s="28" t="s">
        <v>23</v>
      </c>
    </row>
    <row r="7" s="11" customFormat="1" ht="117" customHeight="1" spans="1:14">
      <c r="A7" s="20">
        <v>8</v>
      </c>
      <c r="B7" s="20" t="s">
        <v>20</v>
      </c>
      <c r="C7" s="20" t="s">
        <v>21</v>
      </c>
      <c r="D7" s="20" t="str">
        <f>"羊玉婷"</f>
        <v>羊玉婷</v>
      </c>
      <c r="E7" s="20" t="str">
        <f>"女"</f>
        <v>女</v>
      </c>
      <c r="F7" s="21">
        <v>1990.09</v>
      </c>
      <c r="G7" s="20" t="str">
        <f t="shared" ref="G7:G16" si="2">"中共党员"</f>
        <v>中共党员</v>
      </c>
      <c r="H7" s="20" t="str">
        <f t="shared" si="0"/>
        <v>本科</v>
      </c>
      <c r="I7" s="20" t="str">
        <f t="shared" si="1"/>
        <v>学士</v>
      </c>
      <c r="J7" s="20" t="str">
        <f>"国际经济与贸易"</f>
        <v>国际经济与贸易</v>
      </c>
      <c r="K7" s="20" t="str">
        <f>"长江大学"</f>
        <v>长江大学</v>
      </c>
      <c r="L7" s="20" t="str">
        <f>"国家税务总局儋州市税务局"</f>
        <v>国家税务总局儋州市税务局</v>
      </c>
      <c r="M7" s="27" t="s">
        <v>24</v>
      </c>
      <c r="N7" s="24" t="s">
        <v>25</v>
      </c>
    </row>
    <row r="8" s="11" customFormat="1" ht="158" customHeight="1" spans="1:14">
      <c r="A8" s="20">
        <v>9</v>
      </c>
      <c r="B8" s="20" t="s">
        <v>20</v>
      </c>
      <c r="C8" s="20" t="s">
        <v>21</v>
      </c>
      <c r="D8" s="20" t="str">
        <f>"洪霞"</f>
        <v>洪霞</v>
      </c>
      <c r="E8" s="20" t="str">
        <f>"女"</f>
        <v>女</v>
      </c>
      <c r="F8" s="21">
        <v>1989.08</v>
      </c>
      <c r="G8" s="20" t="str">
        <f t="shared" si="2"/>
        <v>中共党员</v>
      </c>
      <c r="H8" s="20" t="str">
        <f t="shared" si="0"/>
        <v>本科</v>
      </c>
      <c r="I8" s="20" t="str">
        <f t="shared" si="1"/>
        <v>学士</v>
      </c>
      <c r="J8" s="20" t="str">
        <f>"农林经济管理"</f>
        <v>农林经济管理</v>
      </c>
      <c r="K8" s="20" t="str">
        <f>"延边大学"</f>
        <v>延边大学</v>
      </c>
      <c r="L8" s="20" t="str">
        <f>"儋州市新州镇人民政府"</f>
        <v>儋州市新州镇人民政府</v>
      </c>
      <c r="M8" s="27" t="str">
        <f>"2008.09--2012.06  延边大学农林经济管理专业学习
2012.06--2015.01  待业
2015.01--2016.11  黑龙江省七台河市农业委员会员工
2016.11--2017.11  儋州市新州镇政府社会事务办公室试用期公务员
2017.11--2019.06  儋州市新州镇政府社会事务办公室科员
2019.06--2020.08  儋州市新州镇政府社会事务办公室一级科员
2020.08--         儋州市新州镇政府社会事务办公室四级主任科员"</f>
        <v>2008.09--2012.06  延边大学农林经济管理专业学习
2012.06--2015.01  待业
2015.01--2016.11  黑龙江省七台河市农业委员会员工
2016.11--2017.11  儋州市新州镇政府社会事务办公室试用期公务员
2017.11--2019.06  儋州市新州镇政府社会事务办公室科员
2019.06--2020.08  儋州市新州镇政府社会事务办公室一级科员
2020.08--         儋州市新州镇政府社会事务办公室四级主任科员</v>
      </c>
      <c r="N8" s="24" t="s">
        <v>19</v>
      </c>
    </row>
    <row r="9" s="11" customFormat="1" ht="179" customHeight="1" spans="1:14">
      <c r="A9" s="20">
        <v>10</v>
      </c>
      <c r="B9" s="20" t="s">
        <v>20</v>
      </c>
      <c r="C9" s="20" t="s">
        <v>21</v>
      </c>
      <c r="D9" s="20" t="str">
        <f>"杨大志"</f>
        <v>杨大志</v>
      </c>
      <c r="E9" s="20" t="str">
        <f>"男"</f>
        <v>男</v>
      </c>
      <c r="F9" s="21">
        <v>1989.04</v>
      </c>
      <c r="G9" s="20" t="str">
        <f t="shared" si="2"/>
        <v>中共党员</v>
      </c>
      <c r="H9" s="20" t="str">
        <f t="shared" si="0"/>
        <v>本科</v>
      </c>
      <c r="I9" s="20" t="str">
        <f t="shared" si="1"/>
        <v>学士</v>
      </c>
      <c r="J9" s="20" t="str">
        <f>"教育技术学专业"</f>
        <v>教育技术学专业</v>
      </c>
      <c r="K9" s="20" t="str">
        <f>"重庆三峡学院"</f>
        <v>重庆三峡学院</v>
      </c>
      <c r="L9" s="20" t="str">
        <f>"白沙县南开乡人民代表大会"</f>
        <v>白沙县南开乡人民代表大会</v>
      </c>
      <c r="M9" s="27" t="s">
        <v>26</v>
      </c>
      <c r="N9" s="24" t="s">
        <v>18</v>
      </c>
    </row>
    <row r="10" s="11" customFormat="1" ht="169" customHeight="1" spans="1:14">
      <c r="A10" s="20">
        <v>11</v>
      </c>
      <c r="B10" s="20" t="s">
        <v>20</v>
      </c>
      <c r="C10" s="20" t="s">
        <v>21</v>
      </c>
      <c r="D10" s="20" t="str">
        <f>"吴小敏"</f>
        <v>吴小敏</v>
      </c>
      <c r="E10" s="20" t="str">
        <f>"男"</f>
        <v>男</v>
      </c>
      <c r="F10" s="21">
        <v>1986.12</v>
      </c>
      <c r="G10" s="20" t="str">
        <f t="shared" si="2"/>
        <v>中共党员</v>
      </c>
      <c r="H10" s="20" t="str">
        <f t="shared" si="0"/>
        <v>本科</v>
      </c>
      <c r="I10" s="20" t="str">
        <f t="shared" si="1"/>
        <v>学士</v>
      </c>
      <c r="J10" s="20" t="str">
        <f>"信息与计算科学"</f>
        <v>信息与计算科学</v>
      </c>
      <c r="K10" s="20" t="str">
        <f>"桂林电子科技大学"</f>
        <v>桂林电子科技大学</v>
      </c>
      <c r="L10" s="20" t="str">
        <f>"海南省临高县政务服务中心"</f>
        <v>海南省临高县政务服务中心</v>
      </c>
      <c r="M10" s="27" t="s">
        <v>27</v>
      </c>
      <c r="N10" s="24" t="s">
        <v>23</v>
      </c>
    </row>
    <row r="11" s="11" customFormat="1" ht="146" customHeight="1" spans="1:14">
      <c r="A11" s="20">
        <v>12</v>
      </c>
      <c r="B11" s="20" t="s">
        <v>20</v>
      </c>
      <c r="C11" s="20" t="s">
        <v>21</v>
      </c>
      <c r="D11" s="20" t="str">
        <f>"赖美求"</f>
        <v>赖美求</v>
      </c>
      <c r="E11" s="20" t="str">
        <f>"女"</f>
        <v>女</v>
      </c>
      <c r="F11" s="21">
        <v>1991.05</v>
      </c>
      <c r="G11" s="20" t="str">
        <f t="shared" si="2"/>
        <v>中共党员</v>
      </c>
      <c r="H11" s="20" t="str">
        <f t="shared" si="0"/>
        <v>本科</v>
      </c>
      <c r="I11" s="20" t="str">
        <f t="shared" si="1"/>
        <v>学士</v>
      </c>
      <c r="J11" s="20" t="str">
        <f>"教育学"</f>
        <v>教育学</v>
      </c>
      <c r="K11" s="20" t="str">
        <f>"海南师范大学"</f>
        <v>海南师范大学</v>
      </c>
      <c r="L11" s="20" t="str">
        <f>"东方市司法局"</f>
        <v>东方市司法局</v>
      </c>
      <c r="M11" s="27" t="s">
        <v>28</v>
      </c>
      <c r="N11" s="24" t="s">
        <v>16</v>
      </c>
    </row>
    <row r="12" s="10" customFormat="1" ht="179" customHeight="1" spans="1:14">
      <c r="A12" s="20">
        <v>33</v>
      </c>
      <c r="B12" s="20" t="s">
        <v>29</v>
      </c>
      <c r="C12" s="20" t="s">
        <v>30</v>
      </c>
      <c r="D12" s="20" t="str">
        <f>"黄肖紫"</f>
        <v>黄肖紫</v>
      </c>
      <c r="E12" s="20" t="str">
        <f t="shared" ref="E12:E22" si="3">"女"</f>
        <v>女</v>
      </c>
      <c r="F12" s="21">
        <v>1995.04</v>
      </c>
      <c r="G12" s="20" t="str">
        <f t="shared" si="2"/>
        <v>中共党员</v>
      </c>
      <c r="H12" s="20" t="str">
        <f t="shared" si="0"/>
        <v>本科</v>
      </c>
      <c r="I12" s="20" t="str">
        <f t="shared" si="1"/>
        <v>学士</v>
      </c>
      <c r="J12" s="20" t="str">
        <f>"湖南工业大学科技学院财务管理"</f>
        <v>湖南工业大学科技学院财务管理</v>
      </c>
      <c r="K12" s="20" t="str">
        <f>"湖南工业大学科技学院"</f>
        <v>湖南工业大学科技学院</v>
      </c>
      <c r="L12" s="20" t="str">
        <f>"海南省临高县审计局"</f>
        <v>海南省临高县审计局</v>
      </c>
      <c r="M12" s="27" t="s">
        <v>31</v>
      </c>
      <c r="N12" s="28" t="s">
        <v>23</v>
      </c>
    </row>
    <row r="13" s="10" customFormat="1" ht="183" customHeight="1" spans="1:14">
      <c r="A13" s="20">
        <v>34</v>
      </c>
      <c r="B13" s="20" t="s">
        <v>29</v>
      </c>
      <c r="C13" s="20" t="s">
        <v>30</v>
      </c>
      <c r="D13" s="20" t="str">
        <f>"汪乃甫"</f>
        <v>汪乃甫</v>
      </c>
      <c r="E13" s="20" t="str">
        <f>"男"</f>
        <v>男</v>
      </c>
      <c r="F13" s="21">
        <v>1991.03</v>
      </c>
      <c r="G13" s="20" t="str">
        <f t="shared" si="2"/>
        <v>中共党员</v>
      </c>
      <c r="H13" s="20" t="str">
        <f t="shared" si="0"/>
        <v>本科</v>
      </c>
      <c r="I13" s="20" t="str">
        <f t="shared" si="1"/>
        <v>学士</v>
      </c>
      <c r="J13" s="20" t="str">
        <f>"土木工程专业"</f>
        <v>土木工程专业</v>
      </c>
      <c r="K13" s="20" t="str">
        <f>"长沙理工大学交通运输工程学院"</f>
        <v>长沙理工大学交通运输工程学院</v>
      </c>
      <c r="L13" s="20" t="str">
        <f>"海南省白沙黎族自治县打安镇人民政府"</f>
        <v>海南省白沙黎族自治县打安镇人民政府</v>
      </c>
      <c r="M13" s="27" t="s">
        <v>32</v>
      </c>
      <c r="N13" s="28" t="s">
        <v>18</v>
      </c>
    </row>
    <row r="14" s="10" customFormat="1" ht="140" customHeight="1" spans="1:14">
      <c r="A14" s="20">
        <v>35</v>
      </c>
      <c r="B14" s="20" t="s">
        <v>29</v>
      </c>
      <c r="C14" s="20" t="s">
        <v>30</v>
      </c>
      <c r="D14" s="20" t="str">
        <f>"吴伟智"</f>
        <v>吴伟智</v>
      </c>
      <c r="E14" s="20" t="str">
        <f>"男"</f>
        <v>男</v>
      </c>
      <c r="F14" s="20">
        <v>1986.07</v>
      </c>
      <c r="G14" s="20" t="str">
        <f t="shared" si="2"/>
        <v>中共党员</v>
      </c>
      <c r="H14" s="20" t="str">
        <f t="shared" si="0"/>
        <v>本科</v>
      </c>
      <c r="I14" s="20" t="str">
        <f t="shared" si="1"/>
        <v>学士</v>
      </c>
      <c r="J14" s="20" t="str">
        <f>"环境工程"</f>
        <v>环境工程</v>
      </c>
      <c r="K14" s="20" t="str">
        <f>"中国地质大学（武汉）"</f>
        <v>中国地质大学（武汉）</v>
      </c>
      <c r="L14" s="20" t="str">
        <f>"中共白沙黎族自治县七坊镇委员会"</f>
        <v>中共白沙黎族自治县七坊镇委员会</v>
      </c>
      <c r="M14" s="27" t="s">
        <v>33</v>
      </c>
      <c r="N14" s="28" t="s">
        <v>18</v>
      </c>
    </row>
    <row r="15" s="10" customFormat="1" ht="148" customHeight="1" spans="1:14">
      <c r="A15" s="20">
        <v>36</v>
      </c>
      <c r="B15" s="20" t="s">
        <v>29</v>
      </c>
      <c r="C15" s="20" t="s">
        <v>30</v>
      </c>
      <c r="D15" s="20" t="str">
        <f>"吴伟"</f>
        <v>吴伟</v>
      </c>
      <c r="E15" s="20" t="str">
        <f>"男"</f>
        <v>男</v>
      </c>
      <c r="F15" s="21" t="str">
        <f>"1992-01-27"</f>
        <v>1992-01-27</v>
      </c>
      <c r="G15" s="20" t="str">
        <f t="shared" si="2"/>
        <v>中共党员</v>
      </c>
      <c r="H15" s="20" t="str">
        <f t="shared" si="0"/>
        <v>本科</v>
      </c>
      <c r="I15" s="20" t="str">
        <f t="shared" si="1"/>
        <v>学士</v>
      </c>
      <c r="J15" s="20" t="str">
        <f>"公共事业管理专业"</f>
        <v>公共事业管理专业</v>
      </c>
      <c r="K15" s="20" t="str">
        <f>"海南医学院"</f>
        <v>海南医学院</v>
      </c>
      <c r="L15" s="20" t="str">
        <f>"海南省东方市司法局"</f>
        <v>海南省东方市司法局</v>
      </c>
      <c r="M15" s="27" t="s">
        <v>34</v>
      </c>
      <c r="N15" s="28" t="s">
        <v>16</v>
      </c>
    </row>
    <row r="16" s="10" customFormat="1" ht="151" customHeight="1" spans="1:14">
      <c r="A16" s="20">
        <v>37</v>
      </c>
      <c r="B16" s="20" t="s">
        <v>35</v>
      </c>
      <c r="C16" s="20" t="s">
        <v>36</v>
      </c>
      <c r="D16" s="20" t="str">
        <f>"孟文健"</f>
        <v>孟文健</v>
      </c>
      <c r="E16" s="20" t="str">
        <f t="shared" si="3"/>
        <v>女</v>
      </c>
      <c r="F16" s="20">
        <v>1991.01</v>
      </c>
      <c r="G16" s="20" t="str">
        <f t="shared" si="2"/>
        <v>中共党员</v>
      </c>
      <c r="H16" s="20" t="str">
        <f>"大专"</f>
        <v>大专</v>
      </c>
      <c r="I16" s="20" t="str">
        <f>"无"</f>
        <v>无</v>
      </c>
      <c r="J16" s="20" t="str">
        <f>"司法警务"</f>
        <v>司法警务</v>
      </c>
      <c r="K16" s="20" t="str">
        <f>"海南政法职业学院"</f>
        <v>海南政法职业学院</v>
      </c>
      <c r="L16" s="20" t="str">
        <f>"白沙县打安镇人民政府"</f>
        <v>白沙县打安镇人民政府</v>
      </c>
      <c r="M16" s="27" t="s">
        <v>37</v>
      </c>
      <c r="N16" s="28" t="s">
        <v>18</v>
      </c>
    </row>
    <row r="17" s="10" customFormat="1" ht="143" customHeight="1" spans="1:14">
      <c r="A17" s="20">
        <v>38</v>
      </c>
      <c r="B17" s="20" t="s">
        <v>35</v>
      </c>
      <c r="C17" s="20" t="s">
        <v>36</v>
      </c>
      <c r="D17" s="20" t="str">
        <f>"曾维清"</f>
        <v>曾维清</v>
      </c>
      <c r="E17" s="20" t="str">
        <f t="shared" si="3"/>
        <v>女</v>
      </c>
      <c r="F17" s="21">
        <v>1993.09</v>
      </c>
      <c r="G17" s="20" t="str">
        <f>"中共预备党员"</f>
        <v>中共预备党员</v>
      </c>
      <c r="H17" s="20" t="str">
        <f t="shared" ref="H17:H30" si="4">"本科"</f>
        <v>本科</v>
      </c>
      <c r="I17" s="20" t="str">
        <f t="shared" ref="I17:I30" si="5">"学士"</f>
        <v>学士</v>
      </c>
      <c r="J17" s="20" t="str">
        <f>"药事管理专业"</f>
        <v>药事管理专业</v>
      </c>
      <c r="K17" s="20" t="str">
        <f>"中国药科大学"</f>
        <v>中国药科大学</v>
      </c>
      <c r="L17" s="20" t="str">
        <f>"琼中黎族苗族自治县市场监督管理局"</f>
        <v>琼中黎族苗族自治县市场监督管理局</v>
      </c>
      <c r="M17" s="27" t="s">
        <v>38</v>
      </c>
      <c r="N17" s="28" t="s">
        <v>39</v>
      </c>
    </row>
    <row r="18" s="10" customFormat="1" ht="188" customHeight="1" spans="1:14">
      <c r="A18" s="20">
        <v>39</v>
      </c>
      <c r="B18" s="20" t="s">
        <v>35</v>
      </c>
      <c r="C18" s="20" t="s">
        <v>36</v>
      </c>
      <c r="D18" s="20" t="str">
        <f>"薛月女"</f>
        <v>薛月女</v>
      </c>
      <c r="E18" s="20" t="str">
        <f t="shared" si="3"/>
        <v>女</v>
      </c>
      <c r="F18" s="21">
        <v>1988.08</v>
      </c>
      <c r="G18" s="20" t="str">
        <f t="shared" ref="G18:G22" si="6">"中共党员"</f>
        <v>中共党员</v>
      </c>
      <c r="H18" s="20" t="str">
        <f t="shared" si="4"/>
        <v>本科</v>
      </c>
      <c r="I18" s="20" t="str">
        <f t="shared" si="5"/>
        <v>学士</v>
      </c>
      <c r="J18" s="20" t="str">
        <f>"会计学"</f>
        <v>会计学</v>
      </c>
      <c r="K18" s="20" t="str">
        <f>"西京学院"</f>
        <v>西京学院</v>
      </c>
      <c r="L18" s="20" t="str">
        <f>"海南省五指山市审计局"</f>
        <v>海南省五指山市审计局</v>
      </c>
      <c r="M18" s="27" t="s">
        <v>40</v>
      </c>
      <c r="N18" s="28" t="s">
        <v>41</v>
      </c>
    </row>
    <row r="19" s="10" customFormat="1" ht="181" customHeight="1" spans="1:14">
      <c r="A19" s="20">
        <v>40</v>
      </c>
      <c r="B19" s="20" t="s">
        <v>35</v>
      </c>
      <c r="C19" s="20" t="s">
        <v>36</v>
      </c>
      <c r="D19" s="20" t="str">
        <f>"文希"</f>
        <v>文希</v>
      </c>
      <c r="E19" s="20" t="str">
        <f t="shared" si="3"/>
        <v>女</v>
      </c>
      <c r="F19" s="21">
        <v>1990.06</v>
      </c>
      <c r="G19" s="20" t="str">
        <f t="shared" si="6"/>
        <v>中共党员</v>
      </c>
      <c r="H19" s="20" t="str">
        <f t="shared" si="4"/>
        <v>本科</v>
      </c>
      <c r="I19" s="20" t="str">
        <f t="shared" si="5"/>
        <v>学士</v>
      </c>
      <c r="J19" s="20" t="str">
        <f>"汉语言文学"</f>
        <v>汉语言文学</v>
      </c>
      <c r="K19" s="20" t="str">
        <f>"三亚学院"</f>
        <v>三亚学院</v>
      </c>
      <c r="L19" s="20" t="str">
        <f>"白沙黎族自治县财政国库支付中心"</f>
        <v>白沙黎族自治县财政国库支付中心</v>
      </c>
      <c r="M19" s="27" t="s">
        <v>42</v>
      </c>
      <c r="N19" s="28" t="s">
        <v>18</v>
      </c>
    </row>
    <row r="20" s="11" customFormat="1" ht="178" customHeight="1" spans="1:14">
      <c r="A20" s="20">
        <v>41</v>
      </c>
      <c r="B20" s="20" t="s">
        <v>35</v>
      </c>
      <c r="C20" s="20" t="s">
        <v>36</v>
      </c>
      <c r="D20" s="20" t="str">
        <f>"王健"</f>
        <v>王健</v>
      </c>
      <c r="E20" s="20" t="str">
        <f t="shared" si="3"/>
        <v>女</v>
      </c>
      <c r="F20" s="21">
        <v>1992.04</v>
      </c>
      <c r="G20" s="20" t="str">
        <f t="shared" si="6"/>
        <v>中共党员</v>
      </c>
      <c r="H20" s="20" t="str">
        <f t="shared" si="4"/>
        <v>本科</v>
      </c>
      <c r="I20" s="20" t="str">
        <f t="shared" si="5"/>
        <v>学士</v>
      </c>
      <c r="J20" s="20" t="str">
        <f>"生物技术"</f>
        <v>生物技术</v>
      </c>
      <c r="K20" s="20" t="str">
        <f>"湖南科技学院"</f>
        <v>湖南科技学院</v>
      </c>
      <c r="L20" s="20" t="str">
        <f>"中共临高县委办公室"</f>
        <v>中共临高县委办公室</v>
      </c>
      <c r="M20" s="27" t="s">
        <v>43</v>
      </c>
      <c r="N20" s="28" t="s">
        <v>23</v>
      </c>
    </row>
    <row r="21" s="11" customFormat="1" ht="160" customHeight="1" spans="1:14">
      <c r="A21" s="20">
        <v>42</v>
      </c>
      <c r="B21" s="20" t="s">
        <v>35</v>
      </c>
      <c r="C21" s="20" t="s">
        <v>36</v>
      </c>
      <c r="D21" s="20" t="str">
        <f>"韩苏慧"</f>
        <v>韩苏慧</v>
      </c>
      <c r="E21" s="20" t="str">
        <f t="shared" si="3"/>
        <v>女</v>
      </c>
      <c r="F21" s="20">
        <v>1990.05</v>
      </c>
      <c r="G21" s="20" t="str">
        <f t="shared" si="6"/>
        <v>中共党员</v>
      </c>
      <c r="H21" s="20" t="str">
        <f t="shared" si="4"/>
        <v>本科</v>
      </c>
      <c r="I21" s="20" t="str">
        <f t="shared" si="5"/>
        <v>学士</v>
      </c>
      <c r="J21" s="20" t="str">
        <f>"新闻学"</f>
        <v>新闻学</v>
      </c>
      <c r="K21" s="20" t="str">
        <f>"北京体育大学"</f>
        <v>北京体育大学</v>
      </c>
      <c r="L21" s="20" t="str">
        <f>"国家税务总局白沙黎族自治县税务局"</f>
        <v>国家税务总局白沙黎族自治县税务局</v>
      </c>
      <c r="M21" s="27" t="s">
        <v>44</v>
      </c>
      <c r="N21" s="28" t="s">
        <v>25</v>
      </c>
    </row>
    <row r="22" s="11" customFormat="1" ht="164" customHeight="1" spans="1:14">
      <c r="A22" s="20">
        <v>43</v>
      </c>
      <c r="B22" s="20" t="s">
        <v>45</v>
      </c>
      <c r="C22" s="20" t="s">
        <v>46</v>
      </c>
      <c r="D22" s="20" t="str">
        <f>"王婧"</f>
        <v>王婧</v>
      </c>
      <c r="E22" s="20" t="str">
        <f t="shared" si="3"/>
        <v>女</v>
      </c>
      <c r="F22" s="21">
        <v>1988.11</v>
      </c>
      <c r="G22" s="20" t="str">
        <f t="shared" si="6"/>
        <v>中共党员</v>
      </c>
      <c r="H22" s="20" t="str">
        <f t="shared" si="4"/>
        <v>本科</v>
      </c>
      <c r="I22" s="20" t="str">
        <f t="shared" si="5"/>
        <v>学士</v>
      </c>
      <c r="J22" s="20" t="str">
        <f t="shared" ref="J22:J25" si="7">"法学"</f>
        <v>法学</v>
      </c>
      <c r="K22" s="20" t="str">
        <f>"集美大学"</f>
        <v>集美大学</v>
      </c>
      <c r="L22" s="20" t="str">
        <f>"白沙黎族自治县市场监督管理局"</f>
        <v>白沙黎族自治县市场监督管理局</v>
      </c>
      <c r="M22" s="27" t="str">
        <f>"2007.09--2011.07  集美大学政法学院法学专业学习
2011.07--2014.09  待业
2014.09--2015.09  白沙县邦溪食品药品监督管理所试用期公务员
2015.09--2015.10  白沙县邦溪食品药品监督管理所科员
2015.10--2019.06  白沙县光雅食品药品监督管理所科员
2019.06--2019.07  白沙县光雅食品药品监督管理所一级科员
2019.07--         白沙县市场监督管理局综合办公室一级科员"</f>
        <v>2007.09--2011.07  集美大学政法学院法学专业学习
2011.07--2014.09  待业
2014.09--2015.09  白沙县邦溪食品药品监督管理所试用期公务员
2015.09--2015.10  白沙县邦溪食品药品监督管理所科员
2015.10--2019.06  白沙县光雅食品药品监督管理所科员
2019.06--2019.07  白沙县光雅食品药品监督管理所一级科员
2019.07--         白沙县市场监督管理局综合办公室一级科员</v>
      </c>
      <c r="N22" s="28" t="s">
        <v>18</v>
      </c>
    </row>
    <row r="23" s="11" customFormat="1" ht="290" customHeight="1" spans="1:14">
      <c r="A23" s="20">
        <v>44</v>
      </c>
      <c r="B23" s="20" t="s">
        <v>45</v>
      </c>
      <c r="C23" s="20" t="s">
        <v>46</v>
      </c>
      <c r="D23" s="20" t="str">
        <f>"王志逍"</f>
        <v>王志逍</v>
      </c>
      <c r="E23" s="20" t="str">
        <f t="shared" ref="E23:E27" si="8">"男"</f>
        <v>男</v>
      </c>
      <c r="F23" s="21">
        <v>1991.1</v>
      </c>
      <c r="G23" s="20" t="str">
        <f t="shared" ref="G23:G27" si="9">"群众"</f>
        <v>群众</v>
      </c>
      <c r="H23" s="20" t="str">
        <f t="shared" si="4"/>
        <v>本科</v>
      </c>
      <c r="I23" s="20" t="str">
        <f t="shared" si="5"/>
        <v>学士</v>
      </c>
      <c r="J23" s="20" t="str">
        <f>"经济学"</f>
        <v>经济学</v>
      </c>
      <c r="K23" s="20" t="str">
        <f>"重庆工商大学"</f>
        <v>重庆工商大学</v>
      </c>
      <c r="L23" s="20" t="str">
        <f>"国家税务总局琼中黎族苗族自治县税务局"</f>
        <v>国家税务总局琼中黎族苗族自治县税务局</v>
      </c>
      <c r="M23" s="27" t="s">
        <v>47</v>
      </c>
      <c r="N23" s="28" t="s">
        <v>25</v>
      </c>
    </row>
    <row r="24" s="11" customFormat="1" ht="253" customHeight="1" spans="1:14">
      <c r="A24" s="20">
        <v>45</v>
      </c>
      <c r="B24" s="20" t="s">
        <v>45</v>
      </c>
      <c r="C24" s="20" t="s">
        <v>46</v>
      </c>
      <c r="D24" s="20" t="str">
        <f>"曾赵团"</f>
        <v>曾赵团</v>
      </c>
      <c r="E24" s="20" t="str">
        <f t="shared" ref="E24:E30" si="10">"女"</f>
        <v>女</v>
      </c>
      <c r="F24" s="21">
        <v>1986.1</v>
      </c>
      <c r="G24" s="20" t="str">
        <f t="shared" si="9"/>
        <v>群众</v>
      </c>
      <c r="H24" s="20" t="str">
        <f t="shared" si="4"/>
        <v>本科</v>
      </c>
      <c r="I24" s="20" t="str">
        <f t="shared" si="5"/>
        <v>学士</v>
      </c>
      <c r="J24" s="20" t="str">
        <f t="shared" si="7"/>
        <v>法学</v>
      </c>
      <c r="K24" s="20" t="str">
        <f>"湖北大学"</f>
        <v>湖北大学</v>
      </c>
      <c r="L24" s="20" t="str">
        <f>"白沙县司法局"</f>
        <v>白沙县司法局</v>
      </c>
      <c r="M24" s="27" t="s">
        <v>48</v>
      </c>
      <c r="N24" s="28" t="s">
        <v>18</v>
      </c>
    </row>
    <row r="25" s="11" customFormat="1" ht="113" customHeight="1" spans="1:14">
      <c r="A25" s="20">
        <v>46</v>
      </c>
      <c r="B25" s="20" t="s">
        <v>45</v>
      </c>
      <c r="C25" s="20" t="s">
        <v>46</v>
      </c>
      <c r="D25" s="20" t="str">
        <f>"蒙腾"</f>
        <v>蒙腾</v>
      </c>
      <c r="E25" s="20" t="str">
        <f t="shared" si="8"/>
        <v>男</v>
      </c>
      <c r="F25" s="20">
        <v>1990.07</v>
      </c>
      <c r="G25" s="20" t="str">
        <f>"中共党员"</f>
        <v>中共党员</v>
      </c>
      <c r="H25" s="20" t="str">
        <f t="shared" si="4"/>
        <v>本科</v>
      </c>
      <c r="I25" s="20" t="str">
        <f t="shared" si="5"/>
        <v>学士</v>
      </c>
      <c r="J25" s="20" t="str">
        <f t="shared" si="7"/>
        <v>法学</v>
      </c>
      <c r="K25" s="20" t="str">
        <f>"兰州商学院"</f>
        <v>兰州商学院</v>
      </c>
      <c r="L25" s="20" t="str">
        <f>"白沙黎族自治县公安局"</f>
        <v>白沙黎族自治县公安局</v>
      </c>
      <c r="M25" s="27" t="s">
        <v>49</v>
      </c>
      <c r="N25" s="28" t="s">
        <v>18</v>
      </c>
    </row>
    <row r="26" s="11" customFormat="1" ht="121" customHeight="1" spans="1:14">
      <c r="A26" s="20">
        <v>47</v>
      </c>
      <c r="B26" s="20" t="s">
        <v>45</v>
      </c>
      <c r="C26" s="20" t="s">
        <v>46</v>
      </c>
      <c r="D26" s="20" t="str">
        <f>"胡巍巍"</f>
        <v>胡巍巍</v>
      </c>
      <c r="E26" s="20" t="str">
        <f t="shared" si="10"/>
        <v>女</v>
      </c>
      <c r="F26" s="21">
        <v>1989.04</v>
      </c>
      <c r="G26" s="20" t="str">
        <f>"中共党员"</f>
        <v>中共党员</v>
      </c>
      <c r="H26" s="20" t="str">
        <f t="shared" si="4"/>
        <v>本科</v>
      </c>
      <c r="I26" s="20" t="str">
        <f t="shared" si="5"/>
        <v>学士</v>
      </c>
      <c r="J26" s="20" t="str">
        <f>"法学专业"</f>
        <v>法学专业</v>
      </c>
      <c r="K26" s="20" t="str">
        <f>"西北民族大学"</f>
        <v>西北民族大学</v>
      </c>
      <c r="L26" s="20" t="str">
        <f>"白沙黎族自治县综合行政执法局"</f>
        <v>白沙黎族自治县综合行政执法局</v>
      </c>
      <c r="M26" s="27" t="str">
        <f>"2014.12--2015.12  白沙县劳动保障监察大队试用期工作人员
2015.12--2017.01  白沙县劳动保障监察大队科员
2017.01--2019.06  白沙县劳动保障监察大队综合办公室主任
2019.06--2020.04  白沙县劳动保障监察大队 综合办公室主任、一级科员
2020.04--         白沙县综合行政执法局劳动保障和应急管理行政执法大队一级科员"</f>
        <v>2014.12--2015.12  白沙县劳动保障监察大队试用期工作人员
2015.12--2017.01  白沙县劳动保障监察大队科员
2017.01--2019.06  白沙县劳动保障监察大队综合办公室主任
2019.06--2020.04  白沙县劳动保障监察大队 综合办公室主任、一级科员
2020.04--         白沙县综合行政执法局劳动保障和应急管理行政执法大队一级科员</v>
      </c>
      <c r="N26" s="28" t="s">
        <v>18</v>
      </c>
    </row>
    <row r="27" s="11" customFormat="1" ht="87" customHeight="1" spans="1:14">
      <c r="A27" s="20">
        <v>48</v>
      </c>
      <c r="B27" s="20" t="s">
        <v>50</v>
      </c>
      <c r="C27" s="20" t="s">
        <v>51</v>
      </c>
      <c r="D27" s="20" t="str">
        <f>"林盛祥"</f>
        <v>林盛祥</v>
      </c>
      <c r="E27" s="20" t="str">
        <f t="shared" si="8"/>
        <v>男</v>
      </c>
      <c r="F27" s="21">
        <v>1991.04</v>
      </c>
      <c r="G27" s="20" t="str">
        <f t="shared" si="9"/>
        <v>群众</v>
      </c>
      <c r="H27" s="20" t="str">
        <f t="shared" si="4"/>
        <v>本科</v>
      </c>
      <c r="I27" s="20" t="str">
        <f t="shared" si="5"/>
        <v>学士</v>
      </c>
      <c r="J27" s="20" t="str">
        <f>"会计学"</f>
        <v>会计学</v>
      </c>
      <c r="K27" s="20" t="str">
        <f>"西安财经学院行知学院"</f>
        <v>西安财经学院行知学院</v>
      </c>
      <c r="L27" s="20" t="str">
        <f>"澄迈县财政局"</f>
        <v>澄迈县财政局</v>
      </c>
      <c r="M27" s="27" t="s">
        <v>52</v>
      </c>
      <c r="N27" s="28" t="s">
        <v>53</v>
      </c>
    </row>
    <row r="28" s="11" customFormat="1" ht="87" customHeight="1" spans="1:14">
      <c r="A28" s="20">
        <v>49</v>
      </c>
      <c r="B28" s="20" t="s">
        <v>50</v>
      </c>
      <c r="C28" s="20" t="s">
        <v>51</v>
      </c>
      <c r="D28" s="20" t="str">
        <f>"王佳宜"</f>
        <v>王佳宜</v>
      </c>
      <c r="E28" s="20" t="str">
        <f t="shared" si="10"/>
        <v>女</v>
      </c>
      <c r="F28" s="21">
        <v>1996.07</v>
      </c>
      <c r="G28" s="20" t="str">
        <f>"共青团员"</f>
        <v>共青团员</v>
      </c>
      <c r="H28" s="20" t="str">
        <f t="shared" si="4"/>
        <v>本科</v>
      </c>
      <c r="I28" s="20" t="str">
        <f t="shared" si="5"/>
        <v>学士</v>
      </c>
      <c r="J28" s="20" t="str">
        <f>"会计学专业"</f>
        <v>会计学专业</v>
      </c>
      <c r="K28" s="20" t="str">
        <f>"山东财经大学"</f>
        <v>山东财经大学</v>
      </c>
      <c r="L28" s="20" t="str">
        <f>"临高县财政国库支付中心"</f>
        <v>临高县财政国库支付中心</v>
      </c>
      <c r="M28" s="27" t="s">
        <v>54</v>
      </c>
      <c r="N28" s="28" t="s">
        <v>23</v>
      </c>
    </row>
    <row r="29" s="11" customFormat="1" ht="94" customHeight="1" spans="1:14">
      <c r="A29" s="20">
        <v>50</v>
      </c>
      <c r="B29" s="20" t="s">
        <v>50</v>
      </c>
      <c r="C29" s="20" t="s">
        <v>51</v>
      </c>
      <c r="D29" s="20" t="str">
        <f>"李东芹"</f>
        <v>李东芹</v>
      </c>
      <c r="E29" s="20" t="str">
        <f t="shared" si="10"/>
        <v>女</v>
      </c>
      <c r="F29" s="21">
        <v>1990.11</v>
      </c>
      <c r="G29" s="20" t="str">
        <f t="shared" ref="G29:G32" si="11">"群众"</f>
        <v>群众</v>
      </c>
      <c r="H29" s="20" t="str">
        <f t="shared" si="4"/>
        <v>本科</v>
      </c>
      <c r="I29" s="20" t="str">
        <f t="shared" si="5"/>
        <v>学士</v>
      </c>
      <c r="J29" s="20" t="str">
        <f>"会计学"</f>
        <v>会计学</v>
      </c>
      <c r="K29" s="20" t="str">
        <f>"辽宁财贸学院"</f>
        <v>辽宁财贸学院</v>
      </c>
      <c r="L29" s="20" t="str">
        <f>"昌江县财政局"</f>
        <v>昌江县财政局</v>
      </c>
      <c r="M29" s="27" t="s">
        <v>55</v>
      </c>
      <c r="N29" s="28" t="s">
        <v>56</v>
      </c>
    </row>
    <row r="30" s="11" customFormat="1" ht="88" customHeight="1" spans="1:14">
      <c r="A30" s="20">
        <v>51</v>
      </c>
      <c r="B30" s="20" t="s">
        <v>50</v>
      </c>
      <c r="C30" s="20" t="s">
        <v>51</v>
      </c>
      <c r="D30" s="20" t="str">
        <f>"吴玉元"</f>
        <v>吴玉元</v>
      </c>
      <c r="E30" s="20" t="str">
        <f t="shared" si="10"/>
        <v>女</v>
      </c>
      <c r="F30" s="21">
        <v>1995.01</v>
      </c>
      <c r="G30" s="20" t="str">
        <f>"中共预备党员"</f>
        <v>中共预备党员</v>
      </c>
      <c r="H30" s="20" t="str">
        <f t="shared" si="4"/>
        <v>本科</v>
      </c>
      <c r="I30" s="20" t="str">
        <f t="shared" si="5"/>
        <v>学士</v>
      </c>
      <c r="J30" s="20" t="str">
        <f>"审计学"</f>
        <v>审计学</v>
      </c>
      <c r="K30" s="20" t="str">
        <f>"北京信息科技大学"</f>
        <v>北京信息科技大学</v>
      </c>
      <c r="L30" s="20" t="str">
        <f>"乐东黎族自治县财政国库支付局"</f>
        <v>乐东黎族自治县财政国库支付局</v>
      </c>
      <c r="M30" s="27" t="s">
        <v>57</v>
      </c>
      <c r="N30" s="28" t="s">
        <v>58</v>
      </c>
    </row>
    <row r="31" s="11" customFormat="1" ht="211" customHeight="1" spans="1:14">
      <c r="A31" s="20">
        <v>52</v>
      </c>
      <c r="B31" s="20" t="s">
        <v>50</v>
      </c>
      <c r="C31" s="20" t="s">
        <v>51</v>
      </c>
      <c r="D31" s="20" t="str">
        <f>"莫伟"</f>
        <v>莫伟</v>
      </c>
      <c r="E31" s="20" t="str">
        <f t="shared" ref="E31:E35" si="12">"男"</f>
        <v>男</v>
      </c>
      <c r="F31" s="21">
        <v>1990.09</v>
      </c>
      <c r="G31" s="20" t="str">
        <f t="shared" si="11"/>
        <v>群众</v>
      </c>
      <c r="H31" s="20" t="str">
        <f>"大专"</f>
        <v>大专</v>
      </c>
      <c r="I31" s="20" t="str">
        <f>"无"</f>
        <v>无</v>
      </c>
      <c r="J31" s="20" t="str">
        <f>"计算机网络技术"</f>
        <v>计算机网络技术</v>
      </c>
      <c r="K31" s="20" t="str">
        <f>"安徽国防科技职业学院"</f>
        <v>安徽国防科技职业学院</v>
      </c>
      <c r="L31" s="20" t="str">
        <f>"海南省临高县财政局和舍财政所"</f>
        <v>海南省临高县财政局和舍财政所</v>
      </c>
      <c r="M31" s="27" t="s">
        <v>59</v>
      </c>
      <c r="N31" s="28" t="s">
        <v>23</v>
      </c>
    </row>
    <row r="32" s="11" customFormat="1" ht="177" customHeight="1" spans="1:14">
      <c r="A32" s="20">
        <v>53</v>
      </c>
      <c r="B32" s="20" t="s">
        <v>50</v>
      </c>
      <c r="C32" s="20" t="s">
        <v>51</v>
      </c>
      <c r="D32" s="20" t="str">
        <f>"许春花"</f>
        <v>许春花</v>
      </c>
      <c r="E32" s="20" t="str">
        <f t="shared" ref="E32:E38" si="13">"女"</f>
        <v>女</v>
      </c>
      <c r="F32" s="21">
        <v>1988.11</v>
      </c>
      <c r="G32" s="20" t="str">
        <f t="shared" si="11"/>
        <v>群众</v>
      </c>
      <c r="H32" s="20" t="str">
        <f>"大专"</f>
        <v>大专</v>
      </c>
      <c r="I32" s="20" t="str">
        <f>"无"</f>
        <v>无</v>
      </c>
      <c r="J32" s="20" t="str">
        <f>"计算机应用技术"</f>
        <v>计算机应用技术</v>
      </c>
      <c r="K32" s="20" t="str">
        <f>"福建武夷学院"</f>
        <v>福建武夷学院</v>
      </c>
      <c r="L32" s="20" t="str">
        <f>"琼中黎族苗族自治县市场监督管理局"</f>
        <v>琼中黎族苗族自治县市场监督管理局</v>
      </c>
      <c r="M32" s="27" t="s">
        <v>60</v>
      </c>
      <c r="N32" s="28" t="s">
        <v>39</v>
      </c>
    </row>
    <row r="33" s="11" customFormat="1" ht="95" customHeight="1" spans="1:14">
      <c r="A33" s="20">
        <v>54</v>
      </c>
      <c r="B33" s="20" t="s">
        <v>61</v>
      </c>
      <c r="C33" s="20" t="s">
        <v>62</v>
      </c>
      <c r="D33" s="20" t="str">
        <f>"李佳颖"</f>
        <v>李佳颖</v>
      </c>
      <c r="E33" s="20" t="str">
        <f t="shared" si="13"/>
        <v>女</v>
      </c>
      <c r="F33" s="21">
        <v>1990.12</v>
      </c>
      <c r="G33" s="20" t="str">
        <f t="shared" ref="G33:G37" si="14">"中共党员"</f>
        <v>中共党员</v>
      </c>
      <c r="H33" s="20" t="str">
        <f>"研究生"</f>
        <v>研究生</v>
      </c>
      <c r="I33" s="20" t="str">
        <f>"硕士"</f>
        <v>硕士</v>
      </c>
      <c r="J33" s="20" t="str">
        <f>"运筹学与控制论"</f>
        <v>运筹学与控制论</v>
      </c>
      <c r="K33" s="20" t="str">
        <f>"华中科技大学"</f>
        <v>华中科技大学</v>
      </c>
      <c r="L33" s="20" t="str">
        <f>"国家税务总局儋州市税务局"</f>
        <v>国家税务总局儋州市税务局</v>
      </c>
      <c r="M33" s="27" t="s">
        <v>63</v>
      </c>
      <c r="N33" s="24" t="s">
        <v>25</v>
      </c>
    </row>
    <row r="34" s="10" customFormat="1" ht="133" customHeight="1" spans="1:14">
      <c r="A34" s="20">
        <v>55</v>
      </c>
      <c r="B34" s="20" t="s">
        <v>61</v>
      </c>
      <c r="C34" s="20" t="s">
        <v>62</v>
      </c>
      <c r="D34" s="20" t="str">
        <f>"王广宇"</f>
        <v>王广宇</v>
      </c>
      <c r="E34" s="20" t="str">
        <f t="shared" si="12"/>
        <v>男</v>
      </c>
      <c r="F34" s="21">
        <v>1992.04</v>
      </c>
      <c r="G34" s="20" t="str">
        <f>"中共预备党员"</f>
        <v>中共预备党员</v>
      </c>
      <c r="H34" s="20" t="str">
        <f t="shared" ref="H34:H42" si="15">"本科"</f>
        <v>本科</v>
      </c>
      <c r="I34" s="20" t="str">
        <f t="shared" ref="I34:I42" si="16">"学士"</f>
        <v>学士</v>
      </c>
      <c r="J34" s="20" t="str">
        <f>"物流管理"</f>
        <v>物流管理</v>
      </c>
      <c r="K34" s="20" t="str">
        <f>"南昌工程学院"</f>
        <v>南昌工程学院</v>
      </c>
      <c r="L34" s="20" t="str">
        <f>"白沙黎族自治县发展和改革委员会"</f>
        <v>白沙黎族自治县发展和改革委员会</v>
      </c>
      <c r="M34" s="27" t="str">
        <f>"2016.10--2017.10  白沙黎族自治县招商办公室试用期工作人员
2017.10--2018.04  白沙黎族自治县招商办公室科员
2018.03--2018.04  白沙县发展和改革委员会科员  
2018.04--2019.06  白沙县发展和改革委员会区域经济环境保护及交通能源股股长
2019.06--         白沙县发展和改革委员会区域经济环境保护及交通能源股股长、一级科员"</f>
        <v>2016.10--2017.10  白沙黎族自治县招商办公室试用期工作人员
2017.10--2018.04  白沙黎族自治县招商办公室科员
2018.03--2018.04  白沙县发展和改革委员会科员  
2018.04--2019.06  白沙县发展和改革委员会区域经济环境保护及交通能源股股长
2019.06--         白沙县发展和改革委员会区域经济环境保护及交通能源股股长、一级科员</v>
      </c>
      <c r="N34" s="24" t="s">
        <v>18</v>
      </c>
    </row>
    <row r="35" s="10" customFormat="1" ht="282" customHeight="1" spans="1:14">
      <c r="A35" s="20">
        <v>56</v>
      </c>
      <c r="B35" s="20" t="s">
        <v>61</v>
      </c>
      <c r="C35" s="20" t="s">
        <v>62</v>
      </c>
      <c r="D35" s="20" t="str">
        <f>"谢生传"</f>
        <v>谢生传</v>
      </c>
      <c r="E35" s="20" t="str">
        <f t="shared" si="12"/>
        <v>男</v>
      </c>
      <c r="F35" s="21">
        <v>1990.07</v>
      </c>
      <c r="G35" s="20" t="str">
        <f t="shared" si="14"/>
        <v>中共党员</v>
      </c>
      <c r="H35" s="20" t="str">
        <f t="shared" si="15"/>
        <v>本科</v>
      </c>
      <c r="I35" s="20" t="str">
        <f t="shared" si="16"/>
        <v>学士</v>
      </c>
      <c r="J35" s="20" t="str">
        <f>"地质工程专业"</f>
        <v>地质工程专业</v>
      </c>
      <c r="K35" s="20" t="str">
        <f>"中南大学"</f>
        <v>中南大学</v>
      </c>
      <c r="L35" s="20" t="str">
        <f>"白沙黎族自治县南开乡人民政府"</f>
        <v>白沙黎族自治县南开乡人民政府</v>
      </c>
      <c r="M35" s="27" t="s">
        <v>64</v>
      </c>
      <c r="N35" s="24" t="s">
        <v>18</v>
      </c>
    </row>
    <row r="36" s="10" customFormat="1" ht="133" customHeight="1" spans="1:14">
      <c r="A36" s="20">
        <v>57</v>
      </c>
      <c r="B36" s="20" t="s">
        <v>61</v>
      </c>
      <c r="C36" s="20" t="s">
        <v>62</v>
      </c>
      <c r="D36" s="20" t="str">
        <f>"林颖"</f>
        <v>林颖</v>
      </c>
      <c r="E36" s="20" t="str">
        <f t="shared" si="13"/>
        <v>女</v>
      </c>
      <c r="F36" s="21">
        <v>1990.12</v>
      </c>
      <c r="G36" s="20" t="str">
        <f t="shared" si="14"/>
        <v>中共党员</v>
      </c>
      <c r="H36" s="20" t="str">
        <f t="shared" si="15"/>
        <v>本科</v>
      </c>
      <c r="I36" s="20" t="str">
        <f t="shared" si="16"/>
        <v>学士</v>
      </c>
      <c r="J36" s="20" t="str">
        <f>"生物科学专业"</f>
        <v>生物科学专业</v>
      </c>
      <c r="K36" s="20" t="str">
        <f>"中央民族大学"</f>
        <v>中央民族大学</v>
      </c>
      <c r="L36" s="20" t="str">
        <f>"海南省白沙黎族自治县行政审批服务局"</f>
        <v>海南省白沙黎族自治县行政审批服务局</v>
      </c>
      <c r="M36" s="27" t="s">
        <v>65</v>
      </c>
      <c r="N36" s="24" t="s">
        <v>18</v>
      </c>
    </row>
    <row r="37" s="10" customFormat="1" ht="227" customHeight="1" spans="1:14">
      <c r="A37" s="20">
        <v>58</v>
      </c>
      <c r="B37" s="20" t="s">
        <v>61</v>
      </c>
      <c r="C37" s="20" t="s">
        <v>62</v>
      </c>
      <c r="D37" s="20" t="str">
        <f>"唐子妍"</f>
        <v>唐子妍</v>
      </c>
      <c r="E37" s="20" t="str">
        <f t="shared" si="13"/>
        <v>女</v>
      </c>
      <c r="F37" s="21">
        <v>1993.05</v>
      </c>
      <c r="G37" s="20" t="str">
        <f t="shared" si="14"/>
        <v>中共党员</v>
      </c>
      <c r="H37" s="20" t="str">
        <f t="shared" si="15"/>
        <v>本科</v>
      </c>
      <c r="I37" s="20" t="str">
        <f t="shared" si="16"/>
        <v>学士</v>
      </c>
      <c r="J37" s="20" t="str">
        <f>"教育学"</f>
        <v>教育学</v>
      </c>
      <c r="K37" s="20" t="str">
        <f>"忻州师范学院"</f>
        <v>忻州师范学院</v>
      </c>
      <c r="L37" s="20" t="str">
        <f>"儋州市教育局"</f>
        <v>儋州市教育局</v>
      </c>
      <c r="M37" s="27" t="s">
        <v>66</v>
      </c>
      <c r="N37" s="24" t="s">
        <v>19</v>
      </c>
    </row>
    <row r="38" s="10" customFormat="1" ht="179" customHeight="1" spans="1:14">
      <c r="A38" s="20">
        <v>59</v>
      </c>
      <c r="B38" s="20" t="s">
        <v>61</v>
      </c>
      <c r="C38" s="20" t="s">
        <v>62</v>
      </c>
      <c r="D38" s="20" t="str">
        <f>"谢芳"</f>
        <v>谢芳</v>
      </c>
      <c r="E38" s="20" t="str">
        <f t="shared" si="13"/>
        <v>女</v>
      </c>
      <c r="F38" s="21" t="str">
        <f>"1988-02"</f>
        <v>1988-02</v>
      </c>
      <c r="G38" s="20" t="str">
        <f t="shared" ref="G38:G42" si="17">"群众"</f>
        <v>群众</v>
      </c>
      <c r="H38" s="20" t="str">
        <f t="shared" si="15"/>
        <v>本科</v>
      </c>
      <c r="I38" s="20" t="str">
        <f t="shared" si="16"/>
        <v>学士</v>
      </c>
      <c r="J38" s="20" t="str">
        <f>"英语"</f>
        <v>英语</v>
      </c>
      <c r="K38" s="20" t="str">
        <f>"大连民族学院"</f>
        <v>大连民族学院</v>
      </c>
      <c r="L38" s="20" t="str">
        <f>"白沙黎族自治县市场监督管理局"</f>
        <v>白沙黎族自治县市场监督管理局</v>
      </c>
      <c r="M38" s="27" t="str">
        <f>"2006.09--2010.07  大连民族学院外国语言文化学院英语专业学习
2010.07--2016.01  待业
2016.01--2017.01  白沙县工商行政管理局纪检监察室试用期公务员
2017.01--2019.03  白沙县工商行政管理局纪检监察室科员
2019.03--2019.06  白沙县市场监督管理局科员
2019.06--2019.07  白沙县市场监督管理局一级科员
2019.07--         白沙县市场监督管理局政策法规室一级科员"</f>
        <v>2006.09--2010.07  大连民族学院外国语言文化学院英语专业学习
2010.07--2016.01  待业
2016.01--2017.01  白沙县工商行政管理局纪检监察室试用期公务员
2017.01--2019.03  白沙县工商行政管理局纪检监察室科员
2019.03--2019.06  白沙县市场监督管理局科员
2019.06--2019.07  白沙县市场监督管理局一级科员
2019.07--         白沙县市场监督管理局政策法规室一级科员</v>
      </c>
      <c r="N38" s="24" t="s">
        <v>18</v>
      </c>
    </row>
    <row r="39" s="10" customFormat="1" ht="189" customHeight="1" spans="1:14">
      <c r="A39" s="20">
        <v>60</v>
      </c>
      <c r="B39" s="20" t="s">
        <v>61</v>
      </c>
      <c r="C39" s="20" t="s">
        <v>62</v>
      </c>
      <c r="D39" s="20" t="str">
        <f>"王忠献"</f>
        <v>王忠献</v>
      </c>
      <c r="E39" s="20" t="str">
        <f t="shared" ref="E39:E42" si="18">"男"</f>
        <v>男</v>
      </c>
      <c r="F39" s="21">
        <v>1990.07</v>
      </c>
      <c r="G39" s="20" t="str">
        <f t="shared" ref="G39:G45" si="19">"中共党员"</f>
        <v>中共党员</v>
      </c>
      <c r="H39" s="20" t="str">
        <f t="shared" si="15"/>
        <v>本科</v>
      </c>
      <c r="I39" s="20" t="str">
        <f t="shared" si="16"/>
        <v>学士</v>
      </c>
      <c r="J39" s="20" t="str">
        <f>"轻化工程"</f>
        <v>轻化工程</v>
      </c>
      <c r="K39" s="20" t="str">
        <f>"苏州大学"</f>
        <v>苏州大学</v>
      </c>
      <c r="L39" s="20" t="str">
        <f>"海南省临高县财政局"</f>
        <v>海南省临高县财政局</v>
      </c>
      <c r="M39" s="27" t="s">
        <v>67</v>
      </c>
      <c r="N39" s="24" t="s">
        <v>23</v>
      </c>
    </row>
    <row r="40" s="10" customFormat="1" ht="174" customHeight="1" spans="1:14">
      <c r="A40" s="20">
        <v>61</v>
      </c>
      <c r="B40" s="20" t="s">
        <v>61</v>
      </c>
      <c r="C40" s="20" t="s">
        <v>62</v>
      </c>
      <c r="D40" s="20" t="str">
        <f>"袁静雅"</f>
        <v>袁静雅</v>
      </c>
      <c r="E40" s="20" t="str">
        <f>"女"</f>
        <v>女</v>
      </c>
      <c r="F40" s="21">
        <v>1990.11</v>
      </c>
      <c r="G40" s="20" t="str">
        <f t="shared" si="17"/>
        <v>群众</v>
      </c>
      <c r="H40" s="20" t="str">
        <f t="shared" si="15"/>
        <v>本科</v>
      </c>
      <c r="I40" s="20" t="str">
        <f t="shared" si="16"/>
        <v>学士</v>
      </c>
      <c r="J40" s="20" t="str">
        <f>"园艺"</f>
        <v>园艺</v>
      </c>
      <c r="K40" s="20" t="str">
        <f>"华南农业大学"</f>
        <v>华南农业大学</v>
      </c>
      <c r="L40" s="20" t="str">
        <f>"五指山市农业技术与机械服务中心"</f>
        <v>五指山市农业技术与机械服务中心</v>
      </c>
      <c r="M40" s="27" t="s">
        <v>68</v>
      </c>
      <c r="N40" s="24" t="s">
        <v>41</v>
      </c>
    </row>
    <row r="41" s="10" customFormat="1" ht="174" customHeight="1" spans="1:14">
      <c r="A41" s="20">
        <v>62</v>
      </c>
      <c r="B41" s="20" t="s">
        <v>61</v>
      </c>
      <c r="C41" s="20" t="s">
        <v>62</v>
      </c>
      <c r="D41" s="20" t="str">
        <f>"田京泉"</f>
        <v>田京泉</v>
      </c>
      <c r="E41" s="20" t="str">
        <f t="shared" si="18"/>
        <v>男</v>
      </c>
      <c r="F41" s="21">
        <v>1986.06</v>
      </c>
      <c r="G41" s="20" t="str">
        <f t="shared" si="19"/>
        <v>中共党员</v>
      </c>
      <c r="H41" s="20" t="str">
        <f t="shared" si="15"/>
        <v>本科</v>
      </c>
      <c r="I41" s="20" t="str">
        <f t="shared" si="16"/>
        <v>学士</v>
      </c>
      <c r="J41" s="20" t="str">
        <f>"艺术设计（广告设计）"</f>
        <v>艺术设计（广告设计）</v>
      </c>
      <c r="K41" s="20" t="str">
        <f>"江西财经大学"</f>
        <v>江西财经大学</v>
      </c>
      <c r="L41" s="20" t="str">
        <f>"东方市大田镇党委委员、大田镇人民政府副镇长"</f>
        <v>东方市大田镇党委委员、大田镇人民政府副镇长</v>
      </c>
      <c r="M41" s="27" t="s">
        <v>69</v>
      </c>
      <c r="N41" s="24" t="s">
        <v>16</v>
      </c>
    </row>
    <row r="42" s="10" customFormat="1" ht="174" customHeight="1" spans="1:14">
      <c r="A42" s="20" t="s">
        <v>70</v>
      </c>
      <c r="B42" s="20" t="s">
        <v>71</v>
      </c>
      <c r="C42" s="20" t="s">
        <v>72</v>
      </c>
      <c r="D42" s="20" t="str">
        <f>"胡英鹏"</f>
        <v>胡英鹏</v>
      </c>
      <c r="E42" s="20" t="str">
        <f t="shared" si="18"/>
        <v>男</v>
      </c>
      <c r="F42" s="21">
        <v>1991.03</v>
      </c>
      <c r="G42" s="20" t="str">
        <f t="shared" si="17"/>
        <v>群众</v>
      </c>
      <c r="H42" s="20" t="str">
        <f t="shared" si="15"/>
        <v>本科</v>
      </c>
      <c r="I42" s="20" t="str">
        <f t="shared" si="16"/>
        <v>学士</v>
      </c>
      <c r="J42" s="20" t="str">
        <f>"电子信息工程"</f>
        <v>电子信息工程</v>
      </c>
      <c r="K42" s="20" t="str">
        <f>"西安电子科技大学"</f>
        <v>西安电子科技大学</v>
      </c>
      <c r="L42" s="20" t="str">
        <f>"琼海市公安局"</f>
        <v>琼海市公安局</v>
      </c>
      <c r="M42" s="27" t="str">
        <f>"2015.01--2016.01  琼海市公安局彬村山派出所见习民警
2016.01--2018.09  琼海市公安局彬村山派出所科员
2018.09--2019.06  琼海市公安局彬村山派出所一级警员
2019.06--2020.10 琼海市公安局彬村山派出所四级警长
2020.10--         琼海市公安局刑事侦查大队四级警长"</f>
        <v>2015.01--2016.01  琼海市公安局彬村山派出所见习民警
2016.01--2018.09  琼海市公安局彬村山派出所科员
2018.09--2019.06  琼海市公安局彬村山派出所一级警员
2019.06--2020.10 琼海市公安局彬村山派出所四级警长
2020.10--         琼海市公安局刑事侦查大队四级警长</v>
      </c>
      <c r="N42" s="24" t="s">
        <v>73</v>
      </c>
    </row>
    <row r="43" s="10" customFormat="1" ht="100" customHeight="1" spans="1:14">
      <c r="A43" s="20">
        <v>64</v>
      </c>
      <c r="B43" s="20" t="s">
        <v>71</v>
      </c>
      <c r="C43" s="20" t="s">
        <v>72</v>
      </c>
      <c r="D43" s="20" t="str">
        <f>"阮妃"</f>
        <v>阮妃</v>
      </c>
      <c r="E43" s="20" t="str">
        <f t="shared" ref="E43:E48" si="20">"女"</f>
        <v>女</v>
      </c>
      <c r="F43" s="21">
        <v>1990.04</v>
      </c>
      <c r="G43" s="20" t="str">
        <f>"中国民革党员"</f>
        <v>中国民革党员</v>
      </c>
      <c r="H43" s="20" t="str">
        <f>"大专"</f>
        <v>大专</v>
      </c>
      <c r="I43" s="20" t="str">
        <f>"无"</f>
        <v>无</v>
      </c>
      <c r="J43" s="20" t="str">
        <f>"法律文秘"</f>
        <v>法律文秘</v>
      </c>
      <c r="K43" s="20" t="str">
        <f>"四川警察学院"</f>
        <v>四川警察学院</v>
      </c>
      <c r="L43" s="20" t="str">
        <f>"琼海市司法局中原司法所"</f>
        <v>琼海市司法局中原司法所</v>
      </c>
      <c r="M43" s="27" t="s">
        <v>74</v>
      </c>
      <c r="N43" s="24" t="s">
        <v>73</v>
      </c>
    </row>
    <row r="44" s="10" customFormat="1" ht="100" customHeight="1" spans="1:14">
      <c r="A44" s="20">
        <v>65</v>
      </c>
      <c r="B44" s="20" t="s">
        <v>71</v>
      </c>
      <c r="C44" s="20" t="s">
        <v>72</v>
      </c>
      <c r="D44" s="20" t="str">
        <f>"刘育均"</f>
        <v>刘育均</v>
      </c>
      <c r="E44" s="20" t="str">
        <f t="shared" ref="E44:E46" si="21">"男"</f>
        <v>男</v>
      </c>
      <c r="F44" s="21">
        <v>1989.12</v>
      </c>
      <c r="G44" s="20" t="str">
        <f t="shared" si="19"/>
        <v>中共党员</v>
      </c>
      <c r="H44" s="20" t="str">
        <f t="shared" ref="H44:H47" si="22">"本科"</f>
        <v>本科</v>
      </c>
      <c r="I44" s="20" t="str">
        <f t="shared" ref="I44:I47" si="23">"学士"</f>
        <v>学士</v>
      </c>
      <c r="J44" s="20" t="str">
        <f>"金属材料工程"</f>
        <v>金属材料工程</v>
      </c>
      <c r="K44" s="20" t="str">
        <f>"湖南科技大学"</f>
        <v>湖南科技大学</v>
      </c>
      <c r="L44" s="20" t="str">
        <f>"海南省乐东监狱"</f>
        <v>海南省乐东监狱</v>
      </c>
      <c r="M44" s="27" t="str">
        <f>"2006.09--2010.06  湖南科技大学读书
2010.06--2012.10  创业
2012.11--2017.02  乐东监狱工作(科员)
2017.02--2021.12  乐东监狱八监区副监区长
2021.12--         乐东监狱八监区副监区长、二级警长"</f>
        <v>2006.09--2010.06  湖南科技大学读书
2010.06--2012.10  创业
2012.11--2017.02  乐东监狱工作(科员)
2017.02--2021.12  乐东监狱八监区副监区长
2021.12--         乐东监狱八监区副监区长、二级警长</v>
      </c>
      <c r="N44" s="24" t="s">
        <v>58</v>
      </c>
    </row>
    <row r="45" s="10" customFormat="1" ht="151" customHeight="1" spans="1:14">
      <c r="A45" s="20">
        <v>66</v>
      </c>
      <c r="B45" s="20" t="s">
        <v>75</v>
      </c>
      <c r="C45" s="20" t="s">
        <v>76</v>
      </c>
      <c r="D45" s="20" t="str">
        <f>"何文江"</f>
        <v>何文江</v>
      </c>
      <c r="E45" s="20" t="str">
        <f t="shared" si="21"/>
        <v>男</v>
      </c>
      <c r="F45" s="21">
        <v>1989.07</v>
      </c>
      <c r="G45" s="20" t="str">
        <f t="shared" si="19"/>
        <v>中共党员</v>
      </c>
      <c r="H45" s="20" t="str">
        <f t="shared" si="22"/>
        <v>本科</v>
      </c>
      <c r="I45" s="20" t="str">
        <f t="shared" si="23"/>
        <v>学士</v>
      </c>
      <c r="J45" s="20" t="str">
        <f>"汉语言文学"</f>
        <v>汉语言文学</v>
      </c>
      <c r="K45" s="20" t="str">
        <f>"江西师范大学科学技术学院"</f>
        <v>江西师范大学科学技术学院</v>
      </c>
      <c r="L45" s="20" t="str">
        <f>"白沙黎族自治县邦溪镇人民政府"</f>
        <v>白沙黎族自治县邦溪镇人民政府</v>
      </c>
      <c r="M45" s="27" t="str">
        <f>"2008.09--2012.07  江西师范大学科学技术学院汉语言文学专业学习
2012.07--2012.12  待业
2012.12--2013.12  白沙县邦溪镇人民政府试用期公务员
2013.12--2019.06  白沙县邦溪镇人民政府科员
2019.06--         白沙县邦溪镇人民政府一级科员（其间：2019.06--2019年.09借调省纪委监委第十一审查调查室参与专案工作；2019.11--2020.11白沙县纪委监委第五监督检查室挂职锻炼任一级科员）"</f>
        <v>2008.09--2012.07  江西师范大学科学技术学院汉语言文学专业学习
2012.07--2012.12  待业
2012.12--2013.12  白沙县邦溪镇人民政府试用期公务员
2013.12--2019.06  白沙县邦溪镇人民政府科员
2019.06--         白沙县邦溪镇人民政府一级科员（其间：2019.06--2019年.09借调省纪委监委第十一审查调查室参与专案工作；2019.11--2020.11白沙县纪委监委第五监督检查室挂职锻炼任一级科员）</v>
      </c>
      <c r="N45" s="24" t="s">
        <v>18</v>
      </c>
    </row>
    <row r="46" s="10" customFormat="1" ht="100" customHeight="1" spans="1:14">
      <c r="A46" s="20">
        <v>67</v>
      </c>
      <c r="B46" s="20" t="s">
        <v>75</v>
      </c>
      <c r="C46" s="20" t="s">
        <v>76</v>
      </c>
      <c r="D46" s="20" t="str">
        <f>"吴贤新"</f>
        <v>吴贤新</v>
      </c>
      <c r="E46" s="20" t="str">
        <f t="shared" si="21"/>
        <v>男</v>
      </c>
      <c r="F46" s="21">
        <v>1992.05</v>
      </c>
      <c r="G46" s="20" t="str">
        <f>"中共预备党员"</f>
        <v>中共预备党员</v>
      </c>
      <c r="H46" s="20" t="str">
        <f t="shared" si="22"/>
        <v>本科</v>
      </c>
      <c r="I46" s="20" t="str">
        <f t="shared" si="23"/>
        <v>学士</v>
      </c>
      <c r="J46" s="20" t="str">
        <f>"建筑环境与设备工程"</f>
        <v>建筑环境与设备工程</v>
      </c>
      <c r="K46" s="20" t="str">
        <f>"河北工程大学"</f>
        <v>河北工程大学</v>
      </c>
      <c r="L46" s="20" t="str">
        <f t="shared" ref="L46:L50" si="24">"海南省白沙县打安镇人民政府"</f>
        <v>海南省白沙县打安镇人民政府</v>
      </c>
      <c r="M46" s="27" t="s">
        <v>77</v>
      </c>
      <c r="N46" s="24" t="s">
        <v>18</v>
      </c>
    </row>
    <row r="47" s="10" customFormat="1" ht="100" customHeight="1" spans="1:14">
      <c r="A47" s="20">
        <v>68</v>
      </c>
      <c r="B47" s="20" t="s">
        <v>75</v>
      </c>
      <c r="C47" s="20" t="s">
        <v>76</v>
      </c>
      <c r="D47" s="20" t="str">
        <f>"黄姹"</f>
        <v>黄姹</v>
      </c>
      <c r="E47" s="20" t="str">
        <f t="shared" si="20"/>
        <v>女</v>
      </c>
      <c r="F47" s="21">
        <v>1992.04</v>
      </c>
      <c r="G47" s="20" t="str">
        <f t="shared" ref="G47:G53" si="25">"中共党员"</f>
        <v>中共党员</v>
      </c>
      <c r="H47" s="20" t="str">
        <f t="shared" si="22"/>
        <v>本科</v>
      </c>
      <c r="I47" s="20" t="str">
        <f t="shared" si="23"/>
        <v>学士</v>
      </c>
      <c r="J47" s="20" t="str">
        <f>"行政管理"</f>
        <v>行政管理</v>
      </c>
      <c r="K47" s="20" t="str">
        <f>"中南民族大学"</f>
        <v>中南民族大学</v>
      </c>
      <c r="L47" s="20" t="str">
        <f t="shared" si="24"/>
        <v>海南省白沙县打安镇人民政府</v>
      </c>
      <c r="M47" s="27" t="s">
        <v>78</v>
      </c>
      <c r="N47" s="24" t="s">
        <v>18</v>
      </c>
    </row>
    <row r="48" s="10" customFormat="1" ht="100" customHeight="1" spans="1:14">
      <c r="A48" s="20">
        <v>69</v>
      </c>
      <c r="B48" s="20" t="s">
        <v>75</v>
      </c>
      <c r="C48" s="20" t="s">
        <v>76</v>
      </c>
      <c r="D48" s="20" t="str">
        <f>"马晓越"</f>
        <v>马晓越</v>
      </c>
      <c r="E48" s="20" t="str">
        <f t="shared" si="20"/>
        <v>女</v>
      </c>
      <c r="F48" s="21">
        <v>1991.05</v>
      </c>
      <c r="G48" s="20" t="str">
        <f t="shared" ref="G48:G51" si="26">"群众"</f>
        <v>群众</v>
      </c>
      <c r="H48" s="20" t="str">
        <f>"大专"</f>
        <v>大专</v>
      </c>
      <c r="I48" s="20" t="str">
        <f>"无"</f>
        <v>无</v>
      </c>
      <c r="J48" s="20" t="str">
        <f>"语言教育"</f>
        <v>语言教育</v>
      </c>
      <c r="K48" s="20" t="str">
        <f>"琼州学院人文社科学院"</f>
        <v>琼州学院人文社科学院</v>
      </c>
      <c r="L48" s="20" t="str">
        <f>"乐东黎族自治县财政局黄流财政所"</f>
        <v>乐东黎族自治县财政局黄流财政所</v>
      </c>
      <c r="M48" s="27" t="str">
        <f>"2013.07--2016.10  待业
2016.11--2017.11  乐东黎族自治县财政局黄流财政所试用期公务员
2017.11--         乐东黎族自治县财政局黄流财政所一级科员"</f>
        <v>2013.07--2016.10  待业
2016.11--2017.11  乐东黎族自治县财政局黄流财政所试用期公务员
2017.11--         乐东黎族自治县财政局黄流财政所一级科员</v>
      </c>
      <c r="N48" s="24" t="s">
        <v>58</v>
      </c>
    </row>
    <row r="49" s="10" customFormat="1" ht="116" customHeight="1" spans="1:14">
      <c r="A49" s="20">
        <v>70</v>
      </c>
      <c r="B49" s="20" t="s">
        <v>75</v>
      </c>
      <c r="C49" s="20" t="s">
        <v>76</v>
      </c>
      <c r="D49" s="20" t="str">
        <f>"李汉贡"</f>
        <v>李汉贡</v>
      </c>
      <c r="E49" s="20" t="str">
        <f t="shared" ref="E49:E52" si="27">"男"</f>
        <v>男</v>
      </c>
      <c r="F49" s="20">
        <v>1990.05</v>
      </c>
      <c r="G49" s="20" t="str">
        <f t="shared" si="26"/>
        <v>群众</v>
      </c>
      <c r="H49" s="20" t="str">
        <f t="shared" ref="H49:H56" si="28">"本科"</f>
        <v>本科</v>
      </c>
      <c r="I49" s="20" t="str">
        <f t="shared" ref="I49:I56" si="29">"学士"</f>
        <v>学士</v>
      </c>
      <c r="J49" s="20" t="str">
        <f>"测绘工程"</f>
        <v>测绘工程</v>
      </c>
      <c r="K49" s="20" t="str">
        <f>"东华理工大学长江学院"</f>
        <v>东华理工大学长江学院</v>
      </c>
      <c r="L49" s="20" t="str">
        <f>"白沙黎族自治县自然资源和规划局"</f>
        <v>白沙黎族自治县自然资源和规划局</v>
      </c>
      <c r="M49" s="27" t="s">
        <v>79</v>
      </c>
      <c r="N49" s="24" t="s">
        <v>18</v>
      </c>
    </row>
    <row r="50" s="10" customFormat="1" ht="116" customHeight="1" spans="1:14">
      <c r="A50" s="20">
        <v>71</v>
      </c>
      <c r="B50" s="20" t="s">
        <v>75</v>
      </c>
      <c r="C50" s="20" t="s">
        <v>76</v>
      </c>
      <c r="D50" s="20" t="str">
        <f>"李河泰"</f>
        <v>李河泰</v>
      </c>
      <c r="E50" s="20" t="str">
        <f t="shared" si="27"/>
        <v>男</v>
      </c>
      <c r="F50" s="20">
        <v>1989.12</v>
      </c>
      <c r="G50" s="20" t="str">
        <f t="shared" si="25"/>
        <v>中共党员</v>
      </c>
      <c r="H50" s="20" t="str">
        <f>"大专"</f>
        <v>大专</v>
      </c>
      <c r="I50" s="20" t="str">
        <f>"无"</f>
        <v>无</v>
      </c>
      <c r="J50" s="20" t="str">
        <f>"现代教育技术"</f>
        <v>现代教育技术</v>
      </c>
      <c r="K50" s="20" t="str">
        <f>"琼州学院"</f>
        <v>琼州学院</v>
      </c>
      <c r="L50" s="20" t="str">
        <f t="shared" si="24"/>
        <v>海南省白沙县打安镇人民政府</v>
      </c>
      <c r="M50" s="27" t="s">
        <v>80</v>
      </c>
      <c r="N50" s="24" t="s">
        <v>18</v>
      </c>
    </row>
    <row r="51" s="10" customFormat="1" ht="99" customHeight="1" spans="1:14">
      <c r="A51" s="20">
        <v>72</v>
      </c>
      <c r="B51" s="20" t="s">
        <v>81</v>
      </c>
      <c r="C51" s="20" t="s">
        <v>82</v>
      </c>
      <c r="D51" s="20" t="str">
        <f>"林萍丽"</f>
        <v>林萍丽</v>
      </c>
      <c r="E51" s="20" t="str">
        <f t="shared" ref="E51:E55" si="30">"女"</f>
        <v>女</v>
      </c>
      <c r="F51" s="21">
        <v>1990.01</v>
      </c>
      <c r="G51" s="20" t="str">
        <f t="shared" si="26"/>
        <v>群众</v>
      </c>
      <c r="H51" s="20" t="str">
        <f t="shared" si="28"/>
        <v>本科</v>
      </c>
      <c r="I51" s="20" t="str">
        <f t="shared" si="29"/>
        <v>学士</v>
      </c>
      <c r="J51" s="20" t="str">
        <f>"会计学"</f>
        <v>会计学</v>
      </c>
      <c r="K51" s="20" t="str">
        <f>"南昌大学共青学院"</f>
        <v>南昌大学共青学院</v>
      </c>
      <c r="L51" s="20" t="str">
        <f>"海南省临高县财政国库支付中心"</f>
        <v>海南省临高县财政国库支付中心</v>
      </c>
      <c r="M51" s="27" t="s">
        <v>83</v>
      </c>
      <c r="N51" s="24" t="s">
        <v>23</v>
      </c>
    </row>
    <row r="52" s="10" customFormat="1" ht="288" customHeight="1" spans="1:14">
      <c r="A52" s="20">
        <v>73</v>
      </c>
      <c r="B52" s="20" t="s">
        <v>81</v>
      </c>
      <c r="C52" s="20" t="s">
        <v>82</v>
      </c>
      <c r="D52" s="20" t="str">
        <f>"陈泰壮"</f>
        <v>陈泰壮</v>
      </c>
      <c r="E52" s="20" t="str">
        <f t="shared" si="27"/>
        <v>男</v>
      </c>
      <c r="F52" s="20">
        <v>1991.04</v>
      </c>
      <c r="G52" s="20" t="str">
        <f t="shared" si="25"/>
        <v>中共党员</v>
      </c>
      <c r="H52" s="20" t="str">
        <f t="shared" si="28"/>
        <v>本科</v>
      </c>
      <c r="I52" s="20" t="str">
        <f t="shared" si="29"/>
        <v>学士</v>
      </c>
      <c r="J52" s="20" t="str">
        <f>"劳动与社会保障专业"</f>
        <v>劳动与社会保障专业</v>
      </c>
      <c r="K52" s="20" t="str">
        <f>"重庆工商大学社会和公共管理学院"</f>
        <v>重庆工商大学社会和公共管理学院</v>
      </c>
      <c r="L52" s="20" t="str">
        <f>"中共白沙县荣邦乡纪律检查委员会"</f>
        <v>中共白沙县荣邦乡纪律检查委员会</v>
      </c>
      <c r="M52" s="27" t="s">
        <v>84</v>
      </c>
      <c r="N52" s="24" t="s">
        <v>18</v>
      </c>
    </row>
    <row r="53" s="10" customFormat="1" ht="99" customHeight="1" spans="1:14">
      <c r="A53" s="20">
        <v>74</v>
      </c>
      <c r="B53" s="20" t="s">
        <v>81</v>
      </c>
      <c r="C53" s="20" t="s">
        <v>82</v>
      </c>
      <c r="D53" s="20" t="str">
        <f>"许淑丹"</f>
        <v>许淑丹</v>
      </c>
      <c r="E53" s="20" t="str">
        <f t="shared" si="30"/>
        <v>女</v>
      </c>
      <c r="F53" s="21">
        <v>1988.06</v>
      </c>
      <c r="G53" s="20" t="str">
        <f t="shared" si="25"/>
        <v>中共党员</v>
      </c>
      <c r="H53" s="20" t="str">
        <f t="shared" si="28"/>
        <v>本科</v>
      </c>
      <c r="I53" s="20" t="str">
        <f t="shared" si="29"/>
        <v>学士</v>
      </c>
      <c r="J53" s="20" t="str">
        <f>"行政管理专业"</f>
        <v>行政管理专业</v>
      </c>
      <c r="K53" s="20" t="str">
        <f>"内蒙古大学公共管理学院"</f>
        <v>内蒙古大学公共管理学院</v>
      </c>
      <c r="L53" s="20" t="str">
        <f>"乐东黎族自治县委组织部党员教育电化中心"</f>
        <v>乐东黎族自治县委组织部党员教育电化中心</v>
      </c>
      <c r="M53" s="27" t="s">
        <v>85</v>
      </c>
      <c r="N53" s="24" t="s">
        <v>58</v>
      </c>
    </row>
    <row r="54" s="10" customFormat="1" ht="206" customHeight="1" spans="1:14">
      <c r="A54" s="20">
        <v>75</v>
      </c>
      <c r="B54" s="20" t="s">
        <v>81</v>
      </c>
      <c r="C54" s="20" t="s">
        <v>82</v>
      </c>
      <c r="D54" s="20" t="str">
        <f>"李铭春"</f>
        <v>李铭春</v>
      </c>
      <c r="E54" s="20" t="str">
        <f t="shared" si="30"/>
        <v>女</v>
      </c>
      <c r="F54" s="21">
        <v>1992.01</v>
      </c>
      <c r="G54" s="20" t="str">
        <f t="shared" ref="G54:G58" si="31">"群众"</f>
        <v>群众</v>
      </c>
      <c r="H54" s="20" t="str">
        <f t="shared" si="28"/>
        <v>本科</v>
      </c>
      <c r="I54" s="20" t="str">
        <f t="shared" si="29"/>
        <v>学士</v>
      </c>
      <c r="J54" s="20" t="str">
        <f>"中文系汉语言文学（公共关系与文秘）"</f>
        <v>中文系汉语言文学（公共关系与文秘）</v>
      </c>
      <c r="K54" s="20" t="str">
        <f>"广西民族师范学院"</f>
        <v>广西民族师范学院</v>
      </c>
      <c r="L54" s="20" t="str">
        <f>"白沙县细水乡人民政府"</f>
        <v>白沙县细水乡人民政府</v>
      </c>
      <c r="M54" s="27" t="s">
        <v>86</v>
      </c>
      <c r="N54" s="24" t="s">
        <v>18</v>
      </c>
    </row>
    <row r="55" s="10" customFormat="1" ht="95" customHeight="1" spans="1:14">
      <c r="A55" s="20">
        <v>76</v>
      </c>
      <c r="B55" s="20" t="s">
        <v>81</v>
      </c>
      <c r="C55" s="20" t="s">
        <v>82</v>
      </c>
      <c r="D55" s="20" t="str">
        <f>"陈保尾"</f>
        <v>陈保尾</v>
      </c>
      <c r="E55" s="20" t="str">
        <f t="shared" si="30"/>
        <v>女</v>
      </c>
      <c r="F55" s="21">
        <v>1991.08</v>
      </c>
      <c r="G55" s="20" t="str">
        <f t="shared" si="31"/>
        <v>群众</v>
      </c>
      <c r="H55" s="20" t="str">
        <f t="shared" si="28"/>
        <v>本科</v>
      </c>
      <c r="I55" s="20" t="str">
        <f t="shared" si="29"/>
        <v>学士</v>
      </c>
      <c r="J55" s="20" t="str">
        <f>"土地资源管理"</f>
        <v>土地资源管理</v>
      </c>
      <c r="K55" s="20" t="str">
        <f>"中国地质大学长城学院"</f>
        <v>中国地质大学长城学院</v>
      </c>
      <c r="L55" s="20" t="str">
        <f>"白沙黎族自治县自然资源和规划局"</f>
        <v>白沙黎族自治县自然资源和规划局</v>
      </c>
      <c r="M55" s="27" t="s">
        <v>87</v>
      </c>
      <c r="N55" s="24" t="s">
        <v>18</v>
      </c>
    </row>
    <row r="56" s="10" customFormat="1" ht="275" customHeight="1" spans="1:14">
      <c r="A56" s="20">
        <v>77</v>
      </c>
      <c r="B56" s="20" t="s">
        <v>81</v>
      </c>
      <c r="C56" s="20" t="s">
        <v>82</v>
      </c>
      <c r="D56" s="20" t="str">
        <f>"羊健章"</f>
        <v>羊健章</v>
      </c>
      <c r="E56" s="20" t="str">
        <f>"男"</f>
        <v>男</v>
      </c>
      <c r="F56" s="21">
        <v>1988.1</v>
      </c>
      <c r="G56" s="20" t="str">
        <f>"中共党员"</f>
        <v>中共党员</v>
      </c>
      <c r="H56" s="20" t="str">
        <f t="shared" si="28"/>
        <v>本科</v>
      </c>
      <c r="I56" s="20" t="str">
        <f t="shared" si="29"/>
        <v>学士</v>
      </c>
      <c r="J56" s="20" t="str">
        <f>"园林"</f>
        <v>园林</v>
      </c>
      <c r="K56" s="20" t="str">
        <f>"长江大学"</f>
        <v>长江大学</v>
      </c>
      <c r="L56" s="20" t="str">
        <f>"琼中黎族苗族自治县营根镇人民政府"</f>
        <v>琼中黎族苗族自治县营根镇人民政府</v>
      </c>
      <c r="M56" s="27" t="s">
        <v>88</v>
      </c>
      <c r="N56" s="24" t="s">
        <v>39</v>
      </c>
    </row>
    <row r="57" s="10" customFormat="1" ht="99" customHeight="1" spans="1:14">
      <c r="A57" s="20">
        <v>78</v>
      </c>
      <c r="B57" s="20" t="s">
        <v>81</v>
      </c>
      <c r="C57" s="20" t="s">
        <v>82</v>
      </c>
      <c r="D57" s="20" t="str">
        <f>"徐达璋"</f>
        <v>徐达璋</v>
      </c>
      <c r="E57" s="20" t="str">
        <f>"男"</f>
        <v>男</v>
      </c>
      <c r="F57" s="21">
        <v>1988.05</v>
      </c>
      <c r="G57" s="20" t="str">
        <f t="shared" si="31"/>
        <v>群众</v>
      </c>
      <c r="H57" s="20" t="str">
        <f>"大专"</f>
        <v>大专</v>
      </c>
      <c r="I57" s="20" t="str">
        <f>"无"</f>
        <v>无</v>
      </c>
      <c r="J57" s="20" t="str">
        <f>"法律事务"</f>
        <v>法律事务</v>
      </c>
      <c r="K57" s="20" t="str">
        <f>"贵州警官职业学院"</f>
        <v>贵州警官职业学院</v>
      </c>
      <c r="L57" s="20" t="str">
        <f>"定安县公安局雷鸣派出所"</f>
        <v>定安县公安局雷鸣派出所</v>
      </c>
      <c r="M57" s="27" t="str">
        <f>"2010.03月--定安县公安局"</f>
        <v>2010.03月--定安县公安局</v>
      </c>
      <c r="N57" s="24" t="s">
        <v>89</v>
      </c>
    </row>
    <row r="58" s="12" customFormat="1" ht="101" customHeight="1" spans="1:14">
      <c r="A58" s="20">
        <v>79</v>
      </c>
      <c r="B58" s="20" t="s">
        <v>81</v>
      </c>
      <c r="C58" s="20" t="s">
        <v>82</v>
      </c>
      <c r="D58" s="20" t="str">
        <f>"郭娇华"</f>
        <v>郭娇华</v>
      </c>
      <c r="E58" s="20" t="str">
        <f>"女"</f>
        <v>女</v>
      </c>
      <c r="F58" s="21">
        <v>1988.04</v>
      </c>
      <c r="G58" s="20" t="str">
        <f t="shared" si="31"/>
        <v>群众</v>
      </c>
      <c r="H58" s="20" t="str">
        <f>"本科"</f>
        <v>本科</v>
      </c>
      <c r="I58" s="20" t="str">
        <f>"学士"</f>
        <v>学士</v>
      </c>
      <c r="J58" s="20" t="str">
        <f>"新闻学"</f>
        <v>新闻学</v>
      </c>
      <c r="K58" s="20" t="str">
        <f>"海南师范大学"</f>
        <v>海南师范大学</v>
      </c>
      <c r="L58" s="20" t="str">
        <f>"临高县新盈镇人民政府党政办一级科员"</f>
        <v>临高县新盈镇人民政府党政办一级科员</v>
      </c>
      <c r="M58" s="27" t="s">
        <v>90</v>
      </c>
      <c r="N58" s="24" t="s">
        <v>23</v>
      </c>
    </row>
  </sheetData>
  <autoFilter ref="A2:O58">
    <extLst/>
  </autoFilter>
  <mergeCells count="1">
    <mergeCell ref="A1:M1"/>
  </mergeCells>
  <pageMargins left="0.751388888888889" right="0.751388888888889" top="0.590277777777778" bottom="0.236111111111111" header="0.354166666666667" footer="0.156944444444444"/>
  <pageSetup paperSize="9" scale="67"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3"/>
  <sheetViews>
    <sheetView tabSelected="1" view="pageBreakPreview" zoomScale="110" zoomScaleNormal="55" zoomScaleSheetLayoutView="110" workbookViewId="0">
      <selection activeCell="F7" sqref="F7"/>
    </sheetView>
  </sheetViews>
  <sheetFormatPr defaultColWidth="9" defaultRowHeight="13.5"/>
  <cols>
    <col min="1" max="1" width="6.13333333333333" style="4" customWidth="1"/>
    <col min="2" max="2" width="8.29166666666667" style="4" customWidth="1"/>
    <col min="3" max="3" width="6.80833333333333" style="4" customWidth="1"/>
    <col min="4" max="4" width="15.225" style="4" customWidth="1"/>
    <col min="5" max="5" width="17.5" style="4" customWidth="1"/>
    <col min="6" max="6" width="15.9083333333333" style="5" customWidth="1"/>
    <col min="7" max="7" width="13.9666666666667" style="5" customWidth="1"/>
    <col min="8" max="8" width="19.0833333333333" style="5" customWidth="1"/>
    <col min="9" max="9" width="22.2666666666667" style="6" customWidth="1"/>
    <col min="10" max="10" width="22.1583333333333" style="6" customWidth="1"/>
    <col min="11" max="16384" width="9" style="6"/>
  </cols>
  <sheetData>
    <row r="1" ht="33" customHeight="1" spans="1:10">
      <c r="A1" s="7" t="s">
        <v>91</v>
      </c>
      <c r="B1" s="7"/>
      <c r="C1" s="7"/>
      <c r="D1" s="7"/>
      <c r="E1" s="7"/>
      <c r="F1" s="7"/>
      <c r="G1" s="7"/>
      <c r="H1" s="7"/>
      <c r="I1" s="7"/>
      <c r="J1" s="7"/>
    </row>
    <row r="2" s="1" customFormat="1" ht="28" customHeight="1" spans="1:10">
      <c r="A2" s="8" t="s">
        <v>1</v>
      </c>
      <c r="B2" s="8" t="s">
        <v>4</v>
      </c>
      <c r="C2" s="8" t="s">
        <v>5</v>
      </c>
      <c r="D2" s="8" t="s">
        <v>92</v>
      </c>
      <c r="E2" s="8" t="s">
        <v>93</v>
      </c>
      <c r="F2" s="8" t="s">
        <v>94</v>
      </c>
      <c r="G2" s="8" t="s">
        <v>95</v>
      </c>
      <c r="H2" s="8" t="s">
        <v>96</v>
      </c>
      <c r="I2" s="8" t="s">
        <v>97</v>
      </c>
      <c r="J2" s="8" t="s">
        <v>98</v>
      </c>
    </row>
    <row r="3" s="2" customFormat="1" ht="50" customHeight="1" spans="1:10">
      <c r="A3" s="9">
        <v>1</v>
      </c>
      <c r="B3" s="9" t="s">
        <v>99</v>
      </c>
      <c r="C3" s="9" t="s">
        <v>100</v>
      </c>
      <c r="D3" s="29" t="s">
        <v>101</v>
      </c>
      <c r="E3" s="9" t="s">
        <v>102</v>
      </c>
      <c r="F3" s="9" t="s">
        <v>103</v>
      </c>
      <c r="G3" s="9" t="s">
        <v>104</v>
      </c>
      <c r="H3" s="9" t="s">
        <v>105</v>
      </c>
      <c r="I3" s="9" t="s">
        <v>14</v>
      </c>
      <c r="J3" s="9" t="s">
        <v>106</v>
      </c>
    </row>
    <row r="4" s="3" customFormat="1" ht="50" customHeight="1" spans="1:10">
      <c r="A4" s="9">
        <v>2</v>
      </c>
      <c r="B4" s="9" t="s">
        <v>107</v>
      </c>
      <c r="C4" s="9" t="s">
        <v>108</v>
      </c>
      <c r="D4" s="29" t="s">
        <v>109</v>
      </c>
      <c r="E4" s="9" t="s">
        <v>110</v>
      </c>
      <c r="F4" s="9" t="s">
        <v>111</v>
      </c>
      <c r="G4" s="9" t="s">
        <v>112</v>
      </c>
      <c r="H4" s="9" t="s">
        <v>113</v>
      </c>
      <c r="I4" s="9" t="s">
        <v>29</v>
      </c>
      <c r="J4" s="9" t="s">
        <v>30</v>
      </c>
    </row>
    <row r="5" s="3" customFormat="1" ht="50" customHeight="1" spans="1:10">
      <c r="A5" s="9">
        <v>3</v>
      </c>
      <c r="B5" s="9" t="s">
        <v>114</v>
      </c>
      <c r="C5" s="9" t="s">
        <v>100</v>
      </c>
      <c r="D5" s="29" t="s">
        <v>115</v>
      </c>
      <c r="E5" s="9" t="s">
        <v>116</v>
      </c>
      <c r="F5" s="9" t="s">
        <v>117</v>
      </c>
      <c r="G5" s="9" t="s">
        <v>118</v>
      </c>
      <c r="H5" s="9" t="s">
        <v>119</v>
      </c>
      <c r="I5" s="9" t="s">
        <v>35</v>
      </c>
      <c r="J5" s="9" t="s">
        <v>36</v>
      </c>
    </row>
    <row r="6" s="2" customFormat="1" ht="50" customHeight="1" spans="1:10">
      <c r="A6" s="9">
        <v>4</v>
      </c>
      <c r="B6" s="9" t="s">
        <v>120</v>
      </c>
      <c r="C6" s="9" t="s">
        <v>108</v>
      </c>
      <c r="D6" s="29" t="s">
        <v>121</v>
      </c>
      <c r="E6" s="9" t="s">
        <v>102</v>
      </c>
      <c r="F6" s="9" t="s">
        <v>103</v>
      </c>
      <c r="G6" s="9" t="s">
        <v>122</v>
      </c>
      <c r="H6" s="9" t="s">
        <v>123</v>
      </c>
      <c r="I6" s="9" t="s">
        <v>45</v>
      </c>
      <c r="J6" s="9" t="s">
        <v>46</v>
      </c>
    </row>
    <row r="7" s="2" customFormat="1" ht="50" customHeight="1" spans="1:10">
      <c r="A7" s="9">
        <v>5</v>
      </c>
      <c r="B7" s="9" t="s">
        <v>124</v>
      </c>
      <c r="C7" s="9" t="s">
        <v>108</v>
      </c>
      <c r="D7" s="29" t="s">
        <v>125</v>
      </c>
      <c r="E7" s="9" t="s">
        <v>126</v>
      </c>
      <c r="F7" s="9" t="s">
        <v>127</v>
      </c>
      <c r="G7" s="9" t="s">
        <v>128</v>
      </c>
      <c r="H7" s="9" t="s">
        <v>129</v>
      </c>
      <c r="I7" s="9" t="s">
        <v>50</v>
      </c>
      <c r="J7" s="9" t="s">
        <v>51</v>
      </c>
    </row>
    <row r="8" s="2" customFormat="1" ht="50" customHeight="1" spans="1:10">
      <c r="A8" s="9">
        <v>6</v>
      </c>
      <c r="B8" s="9" t="s">
        <v>130</v>
      </c>
      <c r="C8" s="9" t="s">
        <v>100</v>
      </c>
      <c r="D8" s="29" t="s">
        <v>131</v>
      </c>
      <c r="E8" s="9" t="s">
        <v>126</v>
      </c>
      <c r="F8" s="9" t="s">
        <v>127</v>
      </c>
      <c r="G8" s="9" t="s">
        <v>132</v>
      </c>
      <c r="H8" s="9" t="s">
        <v>133</v>
      </c>
      <c r="I8" s="9" t="s">
        <v>50</v>
      </c>
      <c r="J8" s="9" t="s">
        <v>51</v>
      </c>
    </row>
    <row r="9" s="2" customFormat="1" ht="50" customHeight="1" spans="1:10">
      <c r="A9" s="9">
        <v>7</v>
      </c>
      <c r="B9" s="9" t="s">
        <v>134</v>
      </c>
      <c r="C9" s="9" t="s">
        <v>108</v>
      </c>
      <c r="D9" s="29" t="s">
        <v>135</v>
      </c>
      <c r="E9" s="9" t="s">
        <v>136</v>
      </c>
      <c r="F9" s="9" t="s">
        <v>137</v>
      </c>
      <c r="G9" s="9" t="s">
        <v>138</v>
      </c>
      <c r="H9" s="9" t="s">
        <v>139</v>
      </c>
      <c r="I9" s="9" t="s">
        <v>140</v>
      </c>
      <c r="J9" s="9" t="s">
        <v>76</v>
      </c>
    </row>
    <row r="10" s="3" customFormat="1" ht="50" customHeight="1" spans="1:10">
      <c r="A10" s="9">
        <v>8</v>
      </c>
      <c r="B10" s="9" t="s">
        <v>141</v>
      </c>
      <c r="C10" s="9" t="s">
        <v>108</v>
      </c>
      <c r="D10" s="29" t="s">
        <v>142</v>
      </c>
      <c r="E10" s="9" t="s">
        <v>110</v>
      </c>
      <c r="F10" s="9" t="s">
        <v>143</v>
      </c>
      <c r="G10" s="9" t="s">
        <v>144</v>
      </c>
      <c r="H10" s="9" t="s">
        <v>113</v>
      </c>
      <c r="I10" s="9" t="s">
        <v>140</v>
      </c>
      <c r="J10" s="9" t="s">
        <v>76</v>
      </c>
    </row>
    <row r="11" s="3" customFormat="1" ht="50" customHeight="1" spans="1:10">
      <c r="A11" s="9">
        <v>9</v>
      </c>
      <c r="B11" s="9" t="s">
        <v>145</v>
      </c>
      <c r="C11" s="9" t="s">
        <v>108</v>
      </c>
      <c r="D11" s="29" t="s">
        <v>146</v>
      </c>
      <c r="E11" s="9" t="s">
        <v>110</v>
      </c>
      <c r="F11" s="9" t="s">
        <v>147</v>
      </c>
      <c r="G11" s="9" t="s">
        <v>148</v>
      </c>
      <c r="H11" s="9" t="s">
        <v>149</v>
      </c>
      <c r="I11" s="9" t="s">
        <v>150</v>
      </c>
      <c r="J11" s="9" t="s">
        <v>72</v>
      </c>
    </row>
    <row r="12" s="3" customFormat="1" ht="50" customHeight="1" spans="1:10">
      <c r="A12" s="9">
        <v>10</v>
      </c>
      <c r="B12" s="9" t="s">
        <v>151</v>
      </c>
      <c r="C12" s="9" t="s">
        <v>108</v>
      </c>
      <c r="D12" s="29" t="s">
        <v>152</v>
      </c>
      <c r="E12" s="9" t="s">
        <v>126</v>
      </c>
      <c r="F12" s="9" t="s">
        <v>153</v>
      </c>
      <c r="G12" s="9" t="s">
        <v>122</v>
      </c>
      <c r="H12" s="9" t="s">
        <v>154</v>
      </c>
      <c r="I12" s="9" t="s">
        <v>155</v>
      </c>
      <c r="J12" s="9" t="s">
        <v>82</v>
      </c>
    </row>
    <row r="13" s="3" customFormat="1" ht="50" customHeight="1" spans="1:10">
      <c r="A13" s="9">
        <v>11</v>
      </c>
      <c r="B13" s="9" t="s">
        <v>156</v>
      </c>
      <c r="C13" s="9" t="s">
        <v>108</v>
      </c>
      <c r="D13" s="29" t="s">
        <v>157</v>
      </c>
      <c r="E13" s="9" t="s">
        <v>158</v>
      </c>
      <c r="F13" s="9" t="s">
        <v>159</v>
      </c>
      <c r="G13" s="9" t="s">
        <v>160</v>
      </c>
      <c r="H13" s="9" t="s">
        <v>161</v>
      </c>
      <c r="I13" s="9" t="s">
        <v>155</v>
      </c>
      <c r="J13" s="9" t="s">
        <v>82</v>
      </c>
    </row>
  </sheetData>
  <mergeCells count="1">
    <mergeCell ref="A1:J1"/>
  </mergeCells>
  <printOptions horizontalCentered="1"/>
  <pageMargins left="0.393055555555556" right="0.393055555555556" top="0.786805555555556" bottom="0.786805555555556" header="0.354166666666667" footer="0.156944444444444"/>
  <pageSetup paperSize="9" scale="96" fitToHeight="0" orientation="landscape" horizontalDpi="600"/>
  <headerFooter>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4"/>
  <sheetViews>
    <sheetView workbookViewId="0">
      <selection activeCell="G13" sqref="G13"/>
    </sheetView>
  </sheetViews>
  <sheetFormatPr defaultColWidth="9" defaultRowHeight="13.5" outlineLevelCol="1"/>
  <cols>
    <col min="1" max="1" width="23.625" customWidth="1"/>
  </cols>
  <sheetData>
    <row r="1" spans="1:2">
      <c r="A1" t="s">
        <v>162</v>
      </c>
      <c r="B1" t="s">
        <v>163</v>
      </c>
    </row>
    <row r="2" spans="1:2">
      <c r="A2" t="s">
        <v>18</v>
      </c>
      <c r="B2">
        <v>27</v>
      </c>
    </row>
    <row r="3" spans="1:2">
      <c r="A3" t="s">
        <v>56</v>
      </c>
      <c r="B3">
        <v>2</v>
      </c>
    </row>
    <row r="4" spans="1:2">
      <c r="A4" t="s">
        <v>53</v>
      </c>
      <c r="B4">
        <v>1</v>
      </c>
    </row>
    <row r="5" spans="1:2">
      <c r="A5" t="s">
        <v>19</v>
      </c>
      <c r="B5">
        <v>8</v>
      </c>
    </row>
    <row r="6" spans="1:2">
      <c r="A6" t="s">
        <v>89</v>
      </c>
      <c r="B6">
        <v>2</v>
      </c>
    </row>
    <row r="7" spans="1:2">
      <c r="A7" t="s">
        <v>16</v>
      </c>
      <c r="B7">
        <v>4</v>
      </c>
    </row>
    <row r="8" spans="1:2">
      <c r="A8" t="s">
        <v>58</v>
      </c>
      <c r="B8">
        <v>5</v>
      </c>
    </row>
    <row r="9" spans="1:2">
      <c r="A9" t="s">
        <v>23</v>
      </c>
      <c r="B9">
        <v>12</v>
      </c>
    </row>
    <row r="10" spans="1:2">
      <c r="A10" t="s">
        <v>73</v>
      </c>
      <c r="B10">
        <v>3</v>
      </c>
    </row>
    <row r="11" spans="1:2">
      <c r="A11" t="s">
        <v>39</v>
      </c>
      <c r="B11">
        <v>4</v>
      </c>
    </row>
    <row r="12" spans="1:2">
      <c r="A12" t="s">
        <v>25</v>
      </c>
      <c r="B12">
        <v>8</v>
      </c>
    </row>
    <row r="13" spans="1:2">
      <c r="A13" t="s">
        <v>41</v>
      </c>
      <c r="B13">
        <v>3</v>
      </c>
    </row>
    <row r="14" spans="2:2">
      <c r="B14">
        <f>SUM(B2:B13)</f>
        <v>79</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面试人员</vt:lpstr>
      <vt:lpstr>分数1</vt:lpstr>
      <vt:lpstr>导出计数_列N</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spl</cp:lastModifiedBy>
  <dcterms:created xsi:type="dcterms:W3CDTF">2022-07-08T16:45:00Z</dcterms:created>
  <dcterms:modified xsi:type="dcterms:W3CDTF">2022-10-27T03:19:54Z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6EB5F68146914826888DC509704D1F7F</vt:lpwstr>
  </property>
  <property fmtid="{D5CDD505-2E9C-101B-9397-08002B2CF9AE}" pid="3" name="KSOProductBuildVer">
    <vt:lpwstr>2052-11.8.2.8411</vt:lpwstr>
  </property>
</Properties>
</file>